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ВЕД.СТ Пр.2." sheetId="6" state="hidden" r:id="rId6"/>
    <sheet name="Оценка ожид дох" sheetId="7" state="hidden" r:id="rId7"/>
    <sheet name="Бюд.р." sheetId="8" state="hidden" r:id="rId8"/>
    <sheet name="кв" sheetId="9" state="hidden" r:id="rId9"/>
    <sheet name="Срперпфинплан" sheetId="10" state="hidden" r:id="rId10"/>
    <sheet name="Кас" sheetId="11" state="hidden" r:id="rId11"/>
    <sheet name="Ср пл" sheetId="12" state="hidden" r:id="rId12"/>
    <sheet name="Лист1" sheetId="13" state="hidden" r:id="rId13"/>
    <sheet name="Пцс" sheetId="14" state="hidden" r:id="rId14"/>
    <sheet name="Рас.Пр.3" sheetId="15" state="hidden" r:id="rId15"/>
    <sheet name="Рас " sheetId="16" state="hidden" r:id="rId16"/>
  </sheets>
  <externalReferences>
    <externalReference r:id="rId19"/>
  </externalReferences>
  <definedNames>
    <definedName name="_xlnm.Print_Area" localSheetId="5">'ВЕД.СТ Пр.2.'!$B$1:$M$184</definedName>
    <definedName name="_xlnm.Print_Area" localSheetId="3">'Расходы'!$A$2:$I$240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<sst xmlns="http://schemas.openxmlformats.org/spreadsheetml/2006/main" count="5754" uniqueCount="1430">
  <si>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</si>
  <si>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</si>
  <si>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</si>
  <si>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</si>
  <si>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</si>
  <si>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</si>
  <si>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</si>
  <si>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</si>
  <si>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</si>
  <si>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</si>
  <si>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</si>
  <si>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</si>
  <si>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</si>
  <si>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</si>
  <si>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</si>
  <si>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</si>
  <si>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</si>
  <si>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</si>
  <si>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</si>
  <si>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</si>
  <si>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</si>
  <si>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</si>
  <si>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</si>
  <si>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</si>
  <si>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</si>
  <si>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</si>
  <si>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</si>
  <si>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</si>
  <si>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</si>
  <si>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</si>
  <si>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</si>
  <si>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</si>
  <si>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</si>
  <si>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</si>
  <si>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</si>
  <si>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</si>
  <si>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</si>
  <si>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</si>
  <si>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</si>
  <si>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</si>
  <si>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</si>
  <si>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</si>
  <si>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</si>
  <si>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</si>
  <si>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</si>
  <si>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</si>
  <si>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</si>
  <si>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</si>
  <si>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</si>
  <si>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</si>
  <si>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</si>
  <si>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</si>
  <si>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</si>
  <si>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</si>
  <si>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</si>
  <si>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</si>
  <si>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</si>
  <si>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</si>
  <si>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</si>
  <si>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</si>
  <si>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</si>
  <si>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</si>
  <si>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</si>
  <si>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</si>
  <si>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</si>
  <si>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</si>
  <si>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</si>
  <si>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</si>
  <si>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</si>
  <si>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</si>
  <si>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</si>
  <si>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</si>
  <si>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</si>
  <si>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</si>
  <si>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</si>
  <si>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</si>
  <si>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</si>
  <si>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</si>
  <si>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</si>
  <si>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</si>
  <si>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</si>
  <si>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</si>
  <si>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</si>
  <si>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</si>
  <si>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</si>
  <si>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</si>
  <si>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</si>
  <si>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</si>
  <si>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</si>
  <si>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</si>
  <si>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</si>
  <si>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</si>
  <si>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</si>
  <si>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</si>
  <si>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</si>
  <si>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</si>
  <si>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</si>
  <si>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</si>
  <si>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</si>
  <si>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</si>
  <si>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</si>
  <si>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</si>
  <si>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</si>
  <si>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</si>
  <si>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</si>
  <si>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</si>
  <si>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</si>
  <si>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</si>
  <si>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</si>
  <si>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</si>
  <si>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</si>
  <si>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</si>
  <si>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</si>
  <si>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</si>
  <si>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</si>
  <si>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</si>
  <si>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</si>
  <si>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</si>
  <si>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</si>
  <si>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</si>
  <si>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</si>
  <si>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</si>
  <si>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</si>
  <si>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</si>
  <si>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</si>
  <si>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</si>
  <si>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</si>
  <si>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</si>
  <si>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</si>
  <si>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</si>
  <si>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</si>
  <si>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</si>
  <si>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</si>
  <si>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</si>
  <si>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</si>
  <si>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</si>
  <si>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</si>
  <si>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</si>
  <si>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</si>
  <si>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</si>
  <si>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</si>
  <si>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</si>
  <si>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</si>
  <si>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</si>
  <si>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</si>
  <si>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</si>
  <si>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</si>
  <si>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</si>
  <si>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</si>
  <si>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</si>
  <si>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</si>
  <si>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</si>
  <si>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</si>
  <si>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</si>
  <si>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</si>
  <si>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</si>
  <si>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</si>
  <si>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</si>
  <si>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</si>
  <si>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</si>
  <si>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</si>
  <si>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</si>
  <si>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</si>
  <si>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</si>
  <si>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</si>
  <si>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</si>
  <si>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</si>
  <si>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</si>
  <si>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</si>
  <si>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</si>
  <si>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</si>
  <si>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</si>
  <si>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</si>
  <si>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</si>
  <si>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</si>
  <si>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</si>
  <si>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</si>
  <si>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</si>
  <si>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</si>
  <si>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</si>
  <si>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</si>
  <si>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</si>
  <si>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</si>
  <si>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</si>
  <si>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</si>
  <si>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</si>
  <si>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</si>
  <si>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</si>
  <si>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</si>
  <si>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</si>
  <si>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</si>
  <si>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</si>
  <si>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</si>
  <si>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</si>
  <si>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</si>
  <si>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</si>
  <si>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</si>
  <si>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</si>
  <si>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</si>
  <si>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</si>
  <si>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</si>
  <si>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</si>
  <si>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</si>
  <si>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</si>
  <si>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</si>
  <si>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</si>
  <si>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</si>
  <si>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</si>
  <si>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</si>
  <si>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</si>
  <si>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</si>
  <si>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</si>
  <si>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</si>
  <si>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</si>
  <si>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</si>
  <si>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</si>
  <si>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</si>
  <si>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</si>
  <si>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</si>
  <si>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</si>
  <si>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</si>
  <si>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</si>
  <si>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</si>
  <si>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</si>
  <si>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</si>
  <si>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</si>
  <si>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</si>
  <si>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</si>
  <si>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</si>
  <si>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</si>
  <si>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</si>
  <si>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</si>
  <si>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</si>
  <si>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</si>
  <si>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</si>
  <si>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</si>
  <si>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</si>
  <si>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</si>
  <si>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</si>
  <si>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</si>
  <si>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</si>
  <si>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</si>
  <si>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</si>
  <si>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</si>
  <si>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</si>
  <si>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</si>
  <si>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</si>
  <si>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</si>
  <si>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</si>
  <si>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</si>
  <si>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</si>
  <si>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</si>
  <si>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</si>
  <si>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</si>
  <si>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</si>
  <si>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</si>
  <si>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</si>
  <si>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</si>
  <si>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</si>
  <si>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</si>
  <si>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</si>
  <si>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</si>
  <si>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</si>
  <si>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</si>
  <si>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</si>
  <si>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</si>
  <si>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</si>
  <si>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</si>
  <si>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</si>
  <si>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</si>
  <si>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</si>
  <si>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</si>
  <si>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</si>
  <si>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</si>
  <si>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</si>
  <si>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</si>
  <si>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</si>
  <si>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</si>
  <si>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</si>
  <si>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</si>
  <si>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</si>
  <si>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</si>
  <si>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</si>
  <si>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</si>
  <si>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</si>
  <si>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</si>
  <si>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</si>
  <si>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</si>
  <si>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</si>
  <si>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</si>
  <si>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</si>
  <si>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</si>
  <si>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</si>
  <si>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</si>
  <si>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</si>
  <si>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</si>
  <si>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</si>
  <si>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</si>
  <si>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</si>
  <si>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</si>
  <si>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</si>
  <si>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</si>
  <si>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</si>
  <si>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</si>
  <si>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</si>
  <si>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</si>
  <si>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</si>
  <si>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</si>
  <si>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</si>
  <si>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</si>
  <si>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</si>
  <si>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</si>
  <si>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</si>
  <si>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</si>
  <si>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</si>
  <si>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</si>
  <si>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</si>
  <si>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</si>
  <si>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</si>
  <si>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</si>
  <si>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</si>
  <si>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</si>
  <si>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</si>
  <si>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</si>
  <si>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</si>
  <si>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</si>
  <si>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</si>
  <si>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</si>
  <si>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</si>
  <si>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</si>
  <si>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</si>
  <si>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</si>
  <si>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</si>
  <si>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</si>
  <si>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</si>
  <si>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</si>
  <si>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</si>
  <si>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</si>
  <si>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</si>
  <si>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</si>
  <si>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</si>
  <si>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</si>
  <si>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</si>
  <si>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</si>
  <si>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</si>
  <si>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</si>
  <si>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</si>
  <si>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</si>
  <si>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</si>
  <si>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</si>
  <si>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</si>
  <si>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</si>
  <si>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</si>
  <si>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</si>
  <si>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</si>
  <si>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</si>
  <si>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</si>
  <si>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</si>
  <si>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</si>
  <si>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</si>
  <si>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</si>
  <si>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</si>
  <si>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</si>
  <si>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</si>
  <si>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</si>
  <si>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</si>
  <si>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</si>
  <si>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</si>
  <si>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</si>
  <si>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</si>
  <si>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</si>
  <si>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</si>
  <si>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</si>
  <si>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</si>
  <si>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</si>
  <si>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</si>
  <si>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</si>
  <si>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</si>
  <si>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</si>
  <si>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</si>
  <si>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</si>
  <si>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</si>
  <si>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</si>
  <si>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</si>
  <si>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</si>
  <si>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</si>
  <si>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</si>
  <si>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</si>
  <si>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</si>
  <si>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</si>
  <si>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</si>
  <si>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</si>
  <si>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</si>
  <si>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</si>
  <si>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</si>
  <si>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</si>
  <si>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</si>
  <si>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</si>
  <si>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</si>
  <si>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</si>
  <si>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</si>
  <si>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</si>
  <si>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</si>
  <si>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</si>
  <si>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</si>
  <si>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</si>
  <si>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</si>
  <si>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</si>
  <si>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</si>
  <si>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</si>
  <si>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</si>
  <si>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</si>
  <si>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</si>
  <si>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</si>
  <si>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</si>
  <si>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</si>
  <si>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</si>
  <si>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</si>
  <si>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</si>
  <si>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</si>
  <si>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</si>
  <si>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</si>
  <si>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</si>
  <si>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</si>
  <si>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</si>
  <si>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</si>
  <si>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</si>
  <si>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</si>
  <si>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</si>
  <si>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</si>
  <si>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</si>
  <si>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202 03027 03 0100 151</t>
  </si>
  <si>
    <t>202 03027 03 0200 151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</si>
  <si>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</si>
  <si>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</si>
  <si>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</si>
  <si>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</si>
  <si>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</si>
  <si>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</si>
  <si>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</si>
  <si>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</si>
  <si>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</si>
  <si>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</si>
  <si>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</si>
  <si>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</si>
  <si>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</si>
  <si>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</si>
  <si>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</si>
  <si>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</si>
  <si>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</si>
  <si>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</si>
  <si>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</si>
  <si>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</si>
  <si>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</si>
  <si>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</si>
  <si>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</si>
  <si>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</si>
  <si>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</si>
  <si>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</si>
  <si>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</si>
  <si>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</si>
  <si>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</si>
  <si>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</si>
  <si>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</si>
  <si>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</si>
  <si>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</si>
  <si>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</si>
  <si>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</si>
  <si>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</si>
  <si>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</si>
  <si>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</si>
  <si>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</si>
  <si>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</si>
  <si>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</si>
  <si>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</si>
  <si>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</si>
  <si>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</si>
  <si>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</si>
  <si>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</si>
  <si>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</si>
  <si>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</si>
  <si>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</si>
  <si>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</si>
  <si>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</si>
  <si>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</si>
  <si>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</si>
  <si>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</si>
  <si>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</si>
  <si>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</si>
  <si>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</si>
  <si>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</si>
  <si>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</si>
  <si>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</si>
  <si>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</si>
  <si>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</si>
  <si>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</si>
  <si>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>Уменьшение остатков средств бюджетов</t>
  </si>
  <si>
    <t xml:space="preserve"> 1 05 02000 02 0000 110</t>
  </si>
  <si>
    <t>1 06 01010 03 0000 110</t>
  </si>
  <si>
    <t>795 01 01</t>
  </si>
  <si>
    <t>795 01 02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</si>
  <si>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</si>
  <si>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</si>
  <si>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</si>
  <si>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</si>
  <si>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</si>
  <si>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</si>
  <si>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</si>
  <si>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</si>
  <si>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</si>
  <si>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</si>
  <si>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</si>
  <si>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</si>
  <si>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</si>
  <si>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</si>
  <si>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</si>
  <si>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</si>
  <si>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</si>
  <si>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</si>
  <si>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</si>
  <si>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</si>
  <si>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</si>
  <si>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</si>
  <si>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</si>
  <si>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</si>
  <si>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</si>
  <si>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</si>
  <si>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</si>
  <si>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</si>
  <si>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</si>
  <si>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</si>
  <si>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</si>
  <si>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</si>
  <si>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</si>
  <si>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</si>
  <si>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</si>
  <si>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</si>
  <si>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</si>
  <si>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</si>
  <si>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</si>
  <si>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</si>
  <si>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</si>
  <si>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</si>
  <si>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</si>
  <si>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</si>
  <si>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</si>
  <si>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</si>
  <si>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</si>
  <si>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</si>
  <si>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</si>
  <si>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</si>
  <si>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</si>
  <si>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</si>
  <si>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</si>
  <si>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</si>
  <si>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</si>
  <si>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</si>
  <si>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</si>
  <si>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</si>
  <si>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</si>
  <si>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</si>
  <si>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</si>
  <si>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</si>
  <si>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</si>
  <si>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</si>
  <si>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</si>
  <si>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</si>
  <si>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</si>
  <si>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</si>
  <si>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</si>
  <si>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</si>
  <si>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</si>
  <si>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</si>
  <si>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</si>
  <si>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</si>
  <si>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</si>
  <si>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</si>
  <si>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</si>
  <si>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</si>
  <si>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</si>
  <si>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</si>
  <si>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</si>
  <si>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</si>
  <si>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</si>
  <si>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</si>
  <si>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</si>
  <si>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</si>
  <si>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</si>
  <si>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</si>
  <si>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</si>
  <si>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</si>
  <si>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</si>
  <si>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</si>
  <si>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</si>
  <si>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</si>
  <si>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</si>
  <si>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</si>
  <si>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</si>
  <si>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</si>
  <si>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</si>
  <si>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</si>
  <si>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</si>
  <si>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</si>
  <si>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</si>
  <si>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</si>
  <si>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</si>
  <si>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</si>
  <si>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</si>
  <si>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</si>
  <si>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</si>
  <si>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</si>
  <si>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</si>
  <si>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</si>
  <si>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</si>
  <si>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</si>
  <si>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</si>
  <si>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</si>
  <si>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</si>
  <si>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</si>
  <si>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</si>
  <si>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</si>
  <si>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</si>
  <si>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</si>
  <si>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</si>
  <si>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</si>
  <si>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</si>
  <si>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</si>
  <si>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</si>
  <si>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</si>
  <si>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</si>
  <si>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</si>
  <si>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</si>
  <si>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</si>
  <si>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</si>
  <si>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</si>
  <si>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</si>
  <si>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</si>
  <si>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</si>
  <si>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</si>
  <si>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</si>
  <si>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</si>
  <si>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</si>
  <si>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</si>
  <si>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</si>
  <si>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</si>
  <si>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</si>
  <si>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</si>
  <si>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</si>
  <si>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</si>
  <si>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</si>
  <si>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</si>
  <si>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</si>
  <si>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</si>
  <si>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</si>
  <si>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</si>
  <si>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</si>
  <si>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</si>
  <si>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</si>
  <si>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</si>
  <si>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</si>
  <si>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</si>
  <si>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</si>
  <si>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</si>
  <si>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</si>
  <si>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</si>
  <si>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</si>
  <si>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</si>
  <si>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</si>
  <si>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</si>
  <si>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</si>
  <si>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</si>
  <si>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</si>
  <si>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</si>
  <si>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</si>
  <si>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</si>
  <si>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</si>
  <si>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</si>
  <si>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</si>
  <si>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</si>
  <si>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</si>
  <si>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</si>
  <si>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</si>
  <si>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</si>
  <si>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</si>
  <si>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</si>
  <si>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</si>
  <si>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</si>
  <si>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</si>
  <si>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</si>
  <si>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</si>
  <si>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</si>
  <si>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</si>
  <si>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</si>
  <si>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</si>
  <si>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</si>
  <si>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</si>
  <si>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</si>
  <si>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</si>
  <si>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</si>
  <si>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</si>
  <si>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</si>
  <si>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</si>
  <si>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</si>
  <si>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</si>
  <si>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</si>
  <si>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</si>
  <si>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</si>
  <si>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</si>
  <si>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</si>
  <si>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</si>
  <si>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</si>
  <si>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</si>
  <si>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</si>
  <si>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</si>
  <si>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</si>
  <si>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</si>
  <si>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</si>
  <si>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</si>
  <si>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</si>
  <si>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</si>
  <si>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</si>
  <si>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</si>
  <si>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</si>
  <si>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</si>
  <si>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</si>
  <si>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</si>
  <si>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</si>
  <si>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</si>
  <si>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</si>
  <si>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</si>
  <si>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</si>
  <si>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</si>
  <si>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</si>
  <si>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</si>
  <si>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</si>
  <si>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</si>
  <si>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</si>
  <si>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</si>
  <si>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</si>
  <si>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</si>
  <si>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</si>
  <si>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202 03027 00 0000 151</t>
  </si>
  <si>
    <t>202 03027 03 0000 151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</si>
  <si>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</si>
  <si>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</si>
  <si>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</si>
  <si>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</si>
  <si>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</si>
  <si>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</si>
  <si>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</si>
  <si>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</si>
  <si>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</si>
  <si>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</si>
  <si>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</si>
  <si>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</si>
  <si>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</si>
  <si>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</si>
  <si>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</si>
  <si>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</si>
  <si>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</si>
  <si>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</si>
  <si>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</si>
  <si>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</si>
  <si>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</si>
  <si>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</si>
  <si>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</si>
  <si>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</si>
  <si>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</si>
  <si>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</si>
  <si>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</si>
  <si>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</si>
  <si>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</si>
  <si>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</si>
  <si>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</si>
  <si>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</si>
  <si>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</si>
  <si>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</si>
  <si>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</si>
  <si>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</si>
  <si>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</si>
  <si>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</si>
  <si>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</si>
  <si>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</si>
  <si>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</si>
  <si>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</si>
  <si>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</si>
  <si>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</si>
  <si>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</si>
  <si>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</si>
  <si>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 xml:space="preserve"> 01 00 00 00 00 0000 000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</si>
  <si>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</si>
  <si>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</si>
  <si>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</si>
  <si>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</si>
  <si>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</si>
  <si>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</si>
  <si>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</si>
  <si>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</si>
  <si>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</si>
  <si>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</si>
  <si>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</si>
  <si>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</si>
  <si>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</si>
  <si>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</si>
  <si>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</si>
  <si>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</si>
  <si>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</si>
  <si>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</si>
  <si>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</si>
  <si>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</si>
  <si>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</si>
  <si>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</si>
  <si>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</si>
  <si>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</si>
  <si>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</si>
  <si>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</si>
  <si>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</si>
  <si>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</si>
  <si>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</si>
  <si>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</si>
  <si>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</si>
  <si>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</si>
  <si>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</si>
  <si>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</si>
  <si>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</si>
  <si>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</si>
  <si>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</si>
  <si>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</si>
  <si>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</si>
  <si>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</si>
  <si>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</si>
  <si>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</si>
  <si>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</si>
  <si>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</si>
  <si>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</si>
  <si>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</si>
  <si>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</si>
  <si>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</si>
  <si>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</si>
  <si>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</si>
  <si>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</si>
  <si>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</si>
  <si>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</si>
  <si>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</si>
  <si>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</si>
  <si>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</si>
  <si>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</si>
  <si>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</si>
  <si>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</si>
  <si>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</si>
  <si>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</si>
  <si>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</si>
  <si>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</si>
  <si>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</si>
  <si>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</si>
  <si>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</si>
  <si>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</si>
  <si>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</si>
  <si>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</si>
  <si>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</si>
  <si>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</si>
  <si>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</si>
  <si>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</si>
  <si>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</si>
  <si>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</si>
  <si>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</si>
  <si>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</si>
  <si>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</si>
  <si>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</si>
  <si>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</si>
  <si>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</si>
  <si>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</si>
  <si>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</si>
  <si>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</si>
  <si>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</si>
  <si>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</si>
  <si>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</si>
  <si>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</si>
  <si>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</si>
  <si>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</si>
  <si>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</si>
  <si>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</si>
  <si>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</si>
  <si>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</si>
  <si>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</si>
  <si>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</si>
  <si>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</si>
  <si>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</si>
  <si>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</si>
  <si>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</si>
  <si>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</si>
  <si>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</si>
  <si>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</si>
  <si>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</si>
  <si>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</si>
  <si>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</si>
  <si>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</si>
  <si>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</si>
  <si>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</si>
  <si>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</si>
  <si>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</si>
  <si>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</si>
  <si>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</si>
  <si>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</si>
  <si>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</si>
  <si>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</si>
  <si>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</si>
  <si>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</si>
  <si>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</si>
  <si>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</si>
  <si>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</si>
  <si>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</si>
  <si>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</si>
  <si>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</si>
  <si>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</si>
  <si>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</si>
  <si>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</si>
  <si>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</si>
  <si>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</si>
  <si>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</si>
  <si>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</si>
  <si>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</si>
  <si>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</si>
  <si>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</si>
  <si>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</si>
  <si>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</si>
  <si>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</si>
  <si>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</si>
  <si>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</si>
  <si>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</si>
  <si>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</si>
  <si>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</si>
  <si>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</si>
  <si>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</si>
  <si>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</si>
  <si>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</si>
  <si>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</si>
  <si>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</si>
  <si>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</si>
  <si>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</si>
  <si>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</si>
  <si>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</si>
  <si>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</si>
  <si>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</si>
  <si>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</si>
  <si>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</si>
  <si>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</si>
  <si>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</si>
  <si>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</si>
  <si>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</si>
  <si>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</si>
  <si>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</si>
  <si>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</si>
  <si>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</si>
  <si>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</si>
  <si>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</si>
  <si>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</si>
  <si>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</si>
  <si>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</si>
  <si>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</si>
  <si>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</si>
  <si>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</si>
  <si>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</si>
  <si>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</si>
  <si>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</si>
  <si>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</si>
  <si>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</si>
  <si>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</si>
  <si>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</si>
  <si>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</si>
  <si>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</si>
  <si>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</si>
  <si>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</si>
  <si>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</si>
  <si>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</si>
  <si>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</si>
  <si>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</si>
  <si>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</si>
  <si>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</si>
  <si>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</si>
  <si>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</si>
  <si>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</si>
  <si>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</si>
  <si>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</si>
  <si>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</si>
  <si>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</si>
  <si>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</si>
  <si>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</si>
  <si>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</si>
  <si>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</si>
  <si>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</si>
  <si>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</si>
  <si>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</si>
  <si>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</si>
  <si>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</si>
  <si>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</si>
  <si>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</si>
  <si>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</si>
  <si>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</si>
  <si>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</si>
  <si>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</si>
  <si>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</si>
  <si>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</si>
  <si>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</si>
  <si>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</si>
  <si>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</si>
  <si>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</si>
  <si>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</si>
  <si>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</si>
  <si>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</si>
  <si>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</si>
  <si>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</si>
  <si>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</si>
  <si>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</si>
  <si>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</si>
  <si>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</si>
  <si>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</si>
  <si>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</si>
  <si>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</si>
  <si>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</si>
  <si>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</si>
  <si>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</si>
  <si>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</si>
  <si>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</si>
  <si>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</si>
  <si>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</si>
  <si>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</si>
  <si>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</si>
  <si>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</si>
  <si>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</si>
  <si>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</si>
  <si>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</si>
  <si>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</si>
  <si>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</si>
  <si>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</si>
  <si>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</si>
  <si>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</si>
  <si>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</si>
  <si>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</si>
  <si>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</si>
  <si>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</si>
  <si>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</si>
  <si>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</si>
  <si>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</si>
  <si>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</si>
  <si>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</si>
  <si>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</si>
  <si>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</si>
  <si>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</si>
  <si>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</si>
  <si>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</si>
  <si>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</si>
  <si>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</si>
  <si>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</si>
  <si>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</si>
  <si>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</si>
  <si>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</si>
  <si>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</si>
  <si>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</si>
  <si>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</si>
  <si>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</si>
  <si>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</si>
  <si>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</si>
  <si>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</si>
  <si>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</si>
  <si>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</si>
  <si>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</si>
  <si>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</si>
  <si>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</si>
  <si>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</si>
  <si>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</si>
  <si>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</si>
  <si>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</si>
  <si>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</si>
  <si>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</si>
  <si>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</si>
  <si>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</si>
  <si>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</si>
  <si>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</si>
  <si>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</si>
  <si>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</si>
  <si>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</si>
  <si>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</si>
  <si>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</si>
  <si>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</si>
  <si>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</si>
  <si>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</si>
  <si>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</si>
  <si>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</si>
  <si>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</si>
  <si>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</si>
  <si>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</si>
  <si>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</si>
  <si>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</si>
  <si>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</si>
  <si>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</si>
  <si>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</si>
  <si>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</si>
  <si>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</si>
  <si>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</si>
  <si>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</si>
  <si>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</si>
  <si>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</si>
  <si>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</si>
  <si>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</si>
  <si>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</si>
  <si>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</si>
  <si>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</si>
  <si>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</si>
  <si>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</si>
  <si>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</si>
  <si>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</si>
  <si>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</si>
  <si>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</si>
  <si>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</si>
  <si>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</si>
  <si>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</si>
  <si>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</si>
  <si>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</si>
  <si>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</si>
  <si>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</si>
  <si>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</si>
  <si>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</si>
  <si>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</si>
  <si>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</si>
  <si>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</si>
  <si>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</si>
  <si>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</si>
  <si>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7.1.1.1</t>
  </si>
  <si>
    <t>7.2</t>
  </si>
  <si>
    <t>7.2.1</t>
  </si>
  <si>
    <t>19</t>
  </si>
  <si>
    <t>795 06 00</t>
  </si>
  <si>
    <t>ЦЕЛЕВАЯ ПРОГРАММА ПО ОРГАНИЗАЦИИ И ПРОВЕДЕНИЮ ДОСУГОВЫХ МЕРОПРИЯТИЙ ДЛЯ ЖИТЕЛЕЙ МУНИЦИПАЛЬНОГО ОБРАЗОВАНИЯ</t>
  </si>
  <si>
    <t>местного бюджета МО МО Озеро Долгое на 2014 год</t>
  </si>
  <si>
    <t>ИЗБИРАТЕЛЬНАЯ КОМИССИЯ МО МО ОЗЕРО ДОЛГОЕ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</si>
  <si>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</si>
  <si>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</si>
  <si>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</si>
  <si>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</si>
  <si>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</si>
  <si>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</si>
  <si>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</si>
  <si>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</si>
  <si>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</si>
  <si>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</si>
  <si>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</si>
  <si>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</si>
  <si>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О107</t>
  </si>
  <si>
    <t>Пособия, компенсации, меры социальной поддержки по публичным нормативным обязательствам</t>
  </si>
  <si>
    <t>2014г</t>
  </si>
  <si>
    <t>2016г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</si>
  <si>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</si>
  <si>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</si>
  <si>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</si>
  <si>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</si>
  <si>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</si>
  <si>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</si>
  <si>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</si>
  <si>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</si>
  <si>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</si>
  <si>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</si>
  <si>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</si>
  <si>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</si>
  <si>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</si>
  <si>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</si>
  <si>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</si>
  <si>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</si>
  <si>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</si>
  <si>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</si>
  <si>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</si>
  <si>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</si>
  <si>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</si>
  <si>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</si>
  <si>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</si>
  <si>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</si>
  <si>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</si>
  <si>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</si>
  <si>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</si>
  <si>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</si>
  <si>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</si>
  <si>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</si>
  <si>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</si>
  <si>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</si>
  <si>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1 16 33030 03 0000 140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</si>
  <si>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</si>
  <si>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</si>
  <si>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</si>
  <si>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</si>
  <si>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</si>
  <si>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</si>
  <si>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3.26</t>
  </si>
  <si>
    <t>3.26.1</t>
  </si>
  <si>
    <t>Приложение № 3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</si>
  <si>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</si>
  <si>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</si>
  <si>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</si>
  <si>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</si>
  <si>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</si>
  <si>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</si>
  <si>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</si>
  <si>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>05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</si>
  <si>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</si>
  <si>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</si>
  <si>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</si>
  <si>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</si>
  <si>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</si>
  <si>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</si>
  <si>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</si>
  <si>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</si>
  <si>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</si>
  <si>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1.4.1</t>
  </si>
  <si>
    <t>1.2.2</t>
  </si>
  <si>
    <t>1.2.3</t>
  </si>
  <si>
    <t>1.3.2</t>
  </si>
  <si>
    <t>1.3.3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</si>
  <si>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</si>
  <si>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</si>
  <si>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</si>
  <si>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</si>
  <si>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</si>
  <si>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</si>
  <si>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</si>
  <si>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</si>
  <si>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</si>
  <si>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</si>
  <si>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</si>
  <si>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</si>
  <si>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</si>
  <si>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</si>
  <si>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</si>
  <si>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</si>
  <si>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</si>
  <si>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</si>
  <si>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</si>
  <si>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</si>
  <si>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</si>
  <si>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</si>
  <si>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</si>
  <si>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</si>
  <si>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</si>
  <si>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</si>
  <si>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</si>
  <si>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</si>
  <si>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</si>
  <si>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</si>
  <si>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</si>
  <si>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</si>
  <si>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</si>
  <si>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</si>
  <si>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</si>
  <si>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</si>
  <si>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</si>
  <si>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</si>
  <si>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</si>
  <si>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</si>
  <si>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</si>
  <si>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</si>
  <si>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</si>
  <si>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Рева О.В.</t>
  </si>
  <si>
    <t>Начальник планово-бюджетного отдела МА МО МО Озеро Долгое                                             Рева О.В.</t>
  </si>
  <si>
    <t>к бюджету от 23.10.2013.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</si>
  <si>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</si>
  <si>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</si>
  <si>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</si>
  <si>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Утверждено Решением ИКМО Озеро Долгое</t>
  </si>
  <si>
    <t>Иные пенсии, социальные доплаты к пенсиям</t>
  </si>
  <si>
    <t>0111</t>
  </si>
  <si>
    <t>0401</t>
  </si>
  <si>
    <t>0804</t>
  </si>
  <si>
    <t>к бюджету от 19.02.2014</t>
  </si>
  <si>
    <t>№ 6 от 09.01.2014</t>
  </si>
  <si>
    <t>Уплата прочих налогов,сборов и иных платежей</t>
  </si>
  <si>
    <t>к бюджету от 23.04.2014</t>
  </si>
  <si>
    <t>1.2.3.3</t>
  </si>
  <si>
    <t>к бюджету от 14.05.2014</t>
  </si>
  <si>
    <t xml:space="preserve"> 1 16 33030 00 0000 140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</si>
  <si>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t>
  </si>
  <si>
    <t>Приложение</t>
  </si>
  <si>
    <t>с измен. № 01-04/35 от 07.05.2014</t>
  </si>
  <si>
    <t>на 2015 год</t>
  </si>
  <si>
    <t>местного бюджета МО МО Озеро Долгое на 2015 год</t>
  </si>
  <si>
    <t>Уплата иных платежей</t>
  </si>
  <si>
    <t>1.2.</t>
  </si>
  <si>
    <t>Шелгунова М.В.</t>
  </si>
  <si>
    <t>РАСХОДЫ НА ОСУЩЕСТВЛЕНИЕ ЗАЩИТЫ ПРАВ ПОТРЕБИТЕЛЕЙ</t>
  </si>
  <si>
    <t>092 10 00</t>
  </si>
  <si>
    <t>795 07 00</t>
  </si>
  <si>
    <t>795 08 00</t>
  </si>
  <si>
    <t>795 09 00</t>
  </si>
  <si>
    <t>795 10 00</t>
  </si>
  <si>
    <t>795 03 00</t>
  </si>
  <si>
    <t>795 11 00</t>
  </si>
  <si>
    <t>ЛИКВИДАЦИЯ НЕСАНКЦИОНИРОВАННЫХ СВАЛОК БЫТОВЫХ ОТХОДОВ, МУСОРА, УБОРКА ТЕРРИТОРИЙ, ВОДНЫХ АКВАТОРИЙ, ТУПИКОВ И ПРОЕЗДОВ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</si>
  <si>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t>
  </si>
  <si>
    <t>ОЗЕЛЕНЕНИЕ , СОДЕРЖАНИЕ И РЕМОНТ ТЕРРИТОРИЙ  ЗЕЛЕНЫХ НАСАЖДЕНИЙ ВНУТРИКВАРТАЛЬНОГО ОЗЕЛЕНЕНИЯ, КОМПЕНСАЦИОННОЕ ОЗЕЛЕНЕНИЕ</t>
  </si>
  <si>
    <t xml:space="preserve">Перечень и коды целевых статей, применяемых в местном бюджете МО МО Озеро Долгое на 2015 год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</si>
  <si>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</si>
  <si>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002  80 10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</si>
  <si>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</si>
  <si>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</si>
  <si>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</si>
  <si>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002  80 31</t>
  </si>
  <si>
    <t xml:space="preserve">002 80 31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</si>
  <si>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</si>
  <si>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</si>
  <si>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</si>
  <si>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</si>
  <si>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 xml:space="preserve">Пособия, компенсации и иные социальные выплаты
гражданам, кроме публичных нормативных обязательств
</t>
  </si>
  <si>
    <t>1.3.2.4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</si>
  <si>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и муниципальных служащих  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</si>
  <si>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</si>
  <si>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Расходы на организацию профессионального образования и дополнительного профессионального образования для  муниципальных служащих  </t>
  </si>
  <si>
    <t>1.5.2</t>
  </si>
  <si>
    <t>1.5.3</t>
  </si>
  <si>
    <t>1.5.4</t>
  </si>
  <si>
    <t>1.5.5</t>
  </si>
  <si>
    <t>1.5.6</t>
  </si>
  <si>
    <t>1.5.7</t>
  </si>
  <si>
    <t>1.5.2.1</t>
  </si>
  <si>
    <t>1.5.3.1</t>
  </si>
  <si>
    <t>1.5.4.1</t>
  </si>
  <si>
    <t>1.5.5.1</t>
  </si>
  <si>
    <t>1.5.6.1</t>
  </si>
  <si>
    <t>1.5.7.1</t>
  </si>
  <si>
    <t>1.2.4</t>
  </si>
  <si>
    <t xml:space="preserve">в                        </t>
  </si>
  <si>
    <t>Распределение бюджетных ассигнований по 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местного бюджета Муниципального образования МО Озеро Долгое</t>
  </si>
  <si>
    <t>№ 01-04/74 от 15.10.2014</t>
  </si>
  <si>
    <t>на 2015-2017 гг</t>
  </si>
  <si>
    <t>РАСХОДЫ НА ОСУЩЕСТВЛЕНИЕ ЗАКУПОК ТОВАРОВ, РАБОТ, УСЛУГ ДЛЯ ОБЕСПЕЧЕНИЯ МУНИЦИПАЛЬНЫХ НУЖД</t>
  </si>
  <si>
    <t>2015</t>
  </si>
  <si>
    <t>2017г</t>
  </si>
  <si>
    <t>1200</t>
  </si>
  <si>
    <t>1100</t>
  </si>
  <si>
    <t>1102</t>
  </si>
  <si>
    <t>1202</t>
  </si>
  <si>
    <t>№ 01-04/66 от 15.09.2014</t>
  </si>
  <si>
    <t>20</t>
  </si>
  <si>
    <t>40</t>
  </si>
  <si>
    <t>1.3.</t>
  </si>
  <si>
    <t>1.3.4</t>
  </si>
  <si>
    <t>1.3.5</t>
  </si>
  <si>
    <t>1.3.6</t>
  </si>
  <si>
    <t>1.3.7</t>
  </si>
  <si>
    <t>2.1.</t>
  </si>
  <si>
    <t>5.2.3</t>
  </si>
  <si>
    <t>5.2.4</t>
  </si>
  <si>
    <t>5.2.5</t>
  </si>
  <si>
    <t>6.2.2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</si>
  <si>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</si>
  <si>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</si>
  <si>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 20 от 03.12.2014 г.</t>
  </si>
  <si>
    <t>№20 от 03.12.2014 г.</t>
  </si>
  <si>
    <t>№ 02-02-01 от 12.01.2015</t>
  </si>
  <si>
    <t>№ 02-03-01 от 12.01.2015</t>
  </si>
  <si>
    <t>№20 от  03.12.2014 г.</t>
  </si>
  <si>
    <t>КОМПЕНСАЦИЯ  ДЕПУТАТАМ, ОСУЩЕСТВЛЯЮЩИМ СВОИ ПОЛНОМОЧИЯ НА НЕПОСТОЯННОЙ ОСНОВЕ</t>
  </si>
  <si>
    <t>№ 02-02-02 от 14.01.2015</t>
  </si>
  <si>
    <t>№ 02-03-02 от 14.01.2015</t>
  </si>
  <si>
    <t>Приложение № 1</t>
  </si>
  <si>
    <t>№___ от 14.01.2015 г.</t>
  </si>
  <si>
    <t>Приложение №3</t>
  </si>
  <si>
    <r>
      <t xml:space="preserve">НА  </t>
    </r>
    <r>
      <rPr>
        <b/>
        <sz val="12"/>
        <rFont val="Times New Roman"/>
        <family val="1"/>
      </rPr>
      <t xml:space="preserve">2015 </t>
    </r>
    <r>
      <rPr>
        <sz val="12"/>
        <rFont val="Times New Roman"/>
        <family val="1"/>
      </rPr>
      <t xml:space="preserve"> ГОД</t>
    </r>
  </si>
  <si>
    <t>___________________/Шелгунова М.В./                                      ________________/Рева О.В./</t>
  </si>
  <si>
    <t>Очередной финансовый год (тыс.руб)</t>
  </si>
  <si>
    <t>Плановый период (тыс.руб.)</t>
  </si>
  <si>
    <t>изм.от 03.12.2014</t>
  </si>
  <si>
    <t>изм. от 14.01.2015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</si>
  <si>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</si>
  <si>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</si>
  <si>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</si>
  <si>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</si>
  <si>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</si>
  <si>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</si>
  <si>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</si>
  <si>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>№ 02-03-03 от 30.01.2015</t>
  </si>
  <si>
    <t>№ 02-03-04 от 18.02.2015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</si>
  <si>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</si>
  <si>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</si>
  <si>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t>
  </si>
  <si>
    <t>Приобретение товаров, работ, услуг в пользу граждан в целях их социального обеспечения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</si>
  <si>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</si>
  <si>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№01 от 14.01.2015 г.</t>
  </si>
  <si>
    <t>№ 02-02-15 от 18.02.2015</t>
  </si>
  <si>
    <t>№ 02-02-18 от 24.02.2015</t>
  </si>
  <si>
    <t>№ 02-03-05 от 24.02.2015</t>
  </si>
  <si>
    <t>№ 02-03-06 от 10.03.2015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</si>
  <si>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t>
  </si>
  <si>
    <t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</si>
  <si>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</si>
  <si>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</si>
  <si>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</si>
  <si>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</si>
  <si>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</si>
  <si>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</si>
  <si>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</si>
  <si>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</si>
  <si>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Ведомственная целевая программа  по участию в деятельности по профилактике правонарушений в Санкт-Петербурге на территории МО</t>
  </si>
  <si>
    <t>№ 02-03-07 от 25.03.2015</t>
  </si>
  <si>
    <t xml:space="preserve">                                                                             местного бюджета МО МО Озеро Долгое на 2015 год                                                                                             в тыс.руб.</t>
  </si>
  <si>
    <t>№ 02-02-39 от 30.03.2015</t>
  </si>
  <si>
    <t>№07 от 18.02.2015 г.</t>
  </si>
  <si>
    <t>Отчет</t>
  </si>
  <si>
    <t xml:space="preserve"> об исполнении местного бюджета МО МО Озеро Долгое по доходам </t>
  </si>
  <si>
    <t>План</t>
  </si>
  <si>
    <t>Исполнено</t>
  </si>
  <si>
    <t>% исполнения</t>
  </si>
  <si>
    <t>в тыс. руб.</t>
  </si>
  <si>
    <t>об исполнении местного бюджета МО МО Озеро Долгое по расходам</t>
  </si>
  <si>
    <t>План            год</t>
  </si>
  <si>
    <t xml:space="preserve"> 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</si>
  <si>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</si>
  <si>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</si>
  <si>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</si>
  <si>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</si>
  <si>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</si>
  <si>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</si>
  <si>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</si>
  <si>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</si>
  <si>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</si>
  <si>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</si>
  <si>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</si>
  <si>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</si>
  <si>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</si>
  <si>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</si>
  <si>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835</t>
  </si>
  <si>
    <t xml:space="preserve">                                   за 3 квартал 2015 года</t>
  </si>
  <si>
    <t xml:space="preserve">                                                                               за 3 квартал 2015 года                                                        </t>
  </si>
  <si>
    <t xml:space="preserve">                                                                             за  3 квартал 2015 год                                         в тыс. 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</si>
</sst>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0.00_ ;\-0.00\ "/>
    <numFmt numFmtId="180" formatCode="0.000_ ;\-0.000\ "/>
    <numFmt numFmtId="181" formatCode="0.0_ ;\-0.0\ "/>
  </numFmts>
  <fonts count="140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b/>
      <sz val="12"/>
      <name val="Arial"/>
      <family val="2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 Cyr"/>
      <family val="2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i/>
      <sz val="9"/>
      <color indexed="8"/>
      <name val="Arial Cyr"/>
      <family val="2"/>
    </font>
    <font>
      <i/>
      <sz val="8"/>
      <color indexed="8"/>
      <name val="Arial Cyr"/>
      <family val="2"/>
    </font>
    <font>
      <i/>
      <sz val="8"/>
      <color indexed="10"/>
      <name val="Arial Cyr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Arial Cyr"/>
      <family val="0"/>
    </font>
    <font>
      <b/>
      <i/>
      <sz val="9"/>
      <color indexed="36"/>
      <name val="Arial Cyr"/>
      <family val="0"/>
    </font>
    <font>
      <i/>
      <sz val="10"/>
      <color indexed="36"/>
      <name val="Arial Cyr"/>
      <family val="0"/>
    </font>
    <font>
      <i/>
      <sz val="9"/>
      <color indexed="36"/>
      <name val="Arial Cyr"/>
      <family val="0"/>
    </font>
    <font>
      <sz val="10"/>
      <color indexed="36"/>
      <name val="Arial Cyr"/>
      <family val="0"/>
    </font>
    <font>
      <i/>
      <sz val="8"/>
      <color indexed="36"/>
      <name val="Arial Cyr"/>
      <family val="0"/>
    </font>
    <font>
      <sz val="9"/>
      <color indexed="36"/>
      <name val="Arial Cyr"/>
      <family val="0"/>
    </font>
    <font>
      <b/>
      <sz val="8"/>
      <color indexed="36"/>
      <name val="Arial Cyr"/>
      <family val="0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0"/>
      <color theme="1"/>
      <name val="Arial Cyr"/>
      <family val="2"/>
    </font>
    <font>
      <i/>
      <sz val="9"/>
      <color theme="1"/>
      <name val="Arial Cyr"/>
      <family val="2"/>
    </font>
    <font>
      <i/>
      <sz val="8"/>
      <color theme="1"/>
      <name val="Arial Cyr"/>
      <family val="2"/>
    </font>
    <font>
      <i/>
      <sz val="8"/>
      <color rgb="FFFF0000"/>
      <name val="Arial Cyr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  <font>
      <b/>
      <i/>
      <sz val="9"/>
      <color theme="1"/>
      <name val="Arial Cyr"/>
      <family val="0"/>
    </font>
    <font>
      <sz val="10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theme="7"/>
      <name val="Arial Cyr"/>
      <family val="0"/>
    </font>
    <font>
      <b/>
      <sz val="9"/>
      <color theme="7"/>
      <name val="Arial Cyr"/>
      <family val="0"/>
    </font>
    <font>
      <b/>
      <i/>
      <sz val="9"/>
      <color theme="7"/>
      <name val="Arial Cyr"/>
      <family val="0"/>
    </font>
    <font>
      <i/>
      <sz val="10"/>
      <color theme="7"/>
      <name val="Arial Cyr"/>
      <family val="0"/>
    </font>
    <font>
      <i/>
      <sz val="9"/>
      <color theme="7"/>
      <name val="Arial Cyr"/>
      <family val="0"/>
    </font>
    <font>
      <sz val="10"/>
      <color theme="7"/>
      <name val="Arial Cyr"/>
      <family val="0"/>
    </font>
    <font>
      <i/>
      <sz val="8"/>
      <color theme="7"/>
      <name val="Arial Cyr"/>
      <family val="0"/>
    </font>
    <font>
      <sz val="9"/>
      <color theme="7"/>
      <name val="Arial Cyr"/>
      <family val="0"/>
    </font>
    <font>
      <b/>
      <sz val="8"/>
      <color theme="7"/>
      <name val="Arial Cyr"/>
      <family val="0"/>
    </font>
    <font>
      <b/>
      <sz val="11"/>
      <color theme="7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F3F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133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14" fillId="36" borderId="15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1" fillId="38" borderId="20" xfId="0" applyNumberFormat="1" applyFont="1" applyFill="1" applyBorder="1" applyAlignment="1">
      <alignment horizontal="justify" vertical="justify" wrapText="1"/>
    </xf>
    <xf numFmtId="49" fontId="31" fillId="38" borderId="2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 vertical="center"/>
    </xf>
    <xf numFmtId="49" fontId="2" fillId="38" borderId="24" xfId="0" applyNumberFormat="1" applyFont="1" applyFill="1" applyBorder="1" applyAlignment="1">
      <alignment horizontal="center" vertical="center"/>
    </xf>
    <xf numFmtId="49" fontId="9" fillId="38" borderId="24" xfId="0" applyNumberFormat="1" applyFont="1" applyFill="1" applyBorder="1" applyAlignment="1">
      <alignment horizontal="center" vertical="center"/>
    </xf>
    <xf numFmtId="49" fontId="1" fillId="40" borderId="25" xfId="0" applyNumberFormat="1" applyFont="1" applyFill="1" applyBorder="1" applyAlignment="1">
      <alignment horizontal="center" vertical="center"/>
    </xf>
    <xf numFmtId="49" fontId="9" fillId="38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vertical="top" wrapText="1"/>
    </xf>
    <xf numFmtId="0" fontId="17" fillId="36" borderId="23" xfId="0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vertical="top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49" fontId="14" fillId="0" borderId="38" xfId="0" applyNumberFormat="1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49" fontId="30" fillId="38" borderId="30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4" fillId="36" borderId="40" xfId="0" applyNumberFormat="1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30" fillId="0" borderId="42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30" fillId="36" borderId="17" xfId="0" applyFont="1" applyFill="1" applyBorder="1" applyAlignment="1">
      <alignment vertical="top" wrapText="1"/>
    </xf>
    <xf numFmtId="0" fontId="0" fillId="0" borderId="48" xfId="0" applyBorder="1" applyAlignment="1">
      <alignment/>
    </xf>
    <xf numFmtId="0" fontId="0" fillId="37" borderId="13" xfId="0" applyFill="1" applyBorder="1" applyAlignment="1">
      <alignment/>
    </xf>
    <xf numFmtId="0" fontId="30" fillId="0" borderId="46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1" fillId="0" borderId="52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4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" fillId="35" borderId="54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5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6" fillId="33" borderId="53" xfId="0" applyNumberFormat="1" applyFont="1" applyFill="1" applyBorder="1" applyAlignment="1">
      <alignment horizontal="center" vertical="center"/>
    </xf>
    <xf numFmtId="49" fontId="2" fillId="38" borderId="25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42" fillId="0" borderId="23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5" xfId="0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wrapText="1" readingOrder="1"/>
    </xf>
    <xf numFmtId="49" fontId="34" fillId="0" borderId="16" xfId="0" applyNumberFormat="1" applyFont="1" applyBorder="1" applyAlignment="1">
      <alignment horizontal="center" vertical="center" wrapText="1"/>
    </xf>
    <xf numFmtId="49" fontId="16" fillId="36" borderId="40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4" fillId="34" borderId="23" xfId="0" applyNumberFormat="1" applyFont="1" applyFill="1" applyBorder="1" applyAlignment="1">
      <alignment horizontal="center" vertical="center"/>
    </xf>
    <xf numFmtId="175" fontId="23" fillId="36" borderId="55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 wrapText="1"/>
    </xf>
    <xf numFmtId="175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5" fontId="37" fillId="0" borderId="12" xfId="0" applyNumberFormat="1" applyFont="1" applyBorder="1" applyAlignment="1">
      <alignment horizontal="center" vertical="center"/>
    </xf>
    <xf numFmtId="175" fontId="17" fillId="37" borderId="22" xfId="0" applyNumberFormat="1" applyFont="1" applyFill="1" applyBorder="1" applyAlignment="1">
      <alignment horizontal="center" vertical="top" wrapText="1"/>
    </xf>
    <xf numFmtId="0" fontId="23" fillId="36" borderId="11" xfId="0" applyFont="1" applyFill="1" applyBorder="1" applyAlignment="1">
      <alignment horizontal="center" vertical="center" wrapText="1"/>
    </xf>
    <xf numFmtId="49" fontId="15" fillId="37" borderId="57" xfId="0" applyNumberFormat="1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vertical="top" wrapText="1"/>
    </xf>
    <xf numFmtId="175" fontId="23" fillId="36" borderId="59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175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7" borderId="44" xfId="0" applyFont="1" applyFill="1" applyBorder="1" applyAlignment="1">
      <alignment/>
    </xf>
    <xf numFmtId="175" fontId="4" fillId="0" borderId="50" xfId="0" applyNumberFormat="1" applyFont="1" applyBorder="1" applyAlignment="1">
      <alignment horizontal="center" vertical="center"/>
    </xf>
    <xf numFmtId="175" fontId="4" fillId="37" borderId="61" xfId="0" applyNumberFormat="1" applyFont="1" applyFill="1" applyBorder="1" applyAlignment="1">
      <alignment horizontal="center" vertical="center"/>
    </xf>
    <xf numFmtId="175" fontId="4" fillId="37" borderId="15" xfId="0" applyNumberFormat="1" applyFont="1" applyFill="1" applyBorder="1" applyAlignment="1">
      <alignment horizontal="center" vertical="center"/>
    </xf>
    <xf numFmtId="175" fontId="4" fillId="37" borderId="22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175" fontId="4" fillId="0" borderId="62" xfId="0" applyNumberFormat="1" applyFont="1" applyBorder="1" applyAlignment="1">
      <alignment horizontal="center" vertical="center"/>
    </xf>
    <xf numFmtId="175" fontId="17" fillId="0" borderId="63" xfId="0" applyNumberFormat="1" applyFont="1" applyFill="1" applyBorder="1" applyAlignment="1">
      <alignment horizontal="center" vertical="top" wrapText="1"/>
    </xf>
    <xf numFmtId="175" fontId="4" fillId="0" borderId="43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75" fontId="37" fillId="0" borderId="34" xfId="0" applyNumberFormat="1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175" fontId="0" fillId="0" borderId="6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52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28" xfId="0" applyNumberFormat="1" applyFont="1" applyFill="1" applyBorder="1" applyAlignment="1">
      <alignment horizontal="center" vertical="center"/>
    </xf>
    <xf numFmtId="175" fontId="1" fillId="35" borderId="28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4" fillId="39" borderId="18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1" fillId="33" borderId="18" xfId="0" applyNumberFormat="1" applyFont="1" applyFill="1" applyBorder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2" fillId="33" borderId="18" xfId="0" applyNumberFormat="1" applyFont="1" applyFill="1" applyBorder="1" applyAlignment="1">
      <alignment horizontal="center" vertical="center"/>
    </xf>
    <xf numFmtId="175" fontId="6" fillId="41" borderId="18" xfId="0" applyNumberFormat="1" applyFont="1" applyFill="1" applyBorder="1" applyAlignment="1">
      <alignment horizontal="center" vertical="center"/>
    </xf>
    <xf numFmtId="175" fontId="0" fillId="0" borderId="56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wrapText="1" readingOrder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5" fontId="0" fillId="0" borderId="32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wrapText="1"/>
    </xf>
    <xf numFmtId="175" fontId="4" fillId="39" borderId="28" xfId="0" applyNumberFormat="1" applyFont="1" applyFill="1" applyBorder="1" applyAlignment="1">
      <alignment horizontal="center" vertical="center"/>
    </xf>
    <xf numFmtId="175" fontId="0" fillId="33" borderId="28" xfId="0" applyNumberFormat="1" applyFont="1" applyFill="1" applyBorder="1" applyAlignment="1">
      <alignment horizontal="center" vertical="center"/>
    </xf>
    <xf numFmtId="175" fontId="6" fillId="0" borderId="28" xfId="0" applyNumberFormat="1" applyFont="1" applyFill="1" applyBorder="1" applyAlignment="1">
      <alignment horizontal="center" vertical="center"/>
    </xf>
    <xf numFmtId="175" fontId="1" fillId="33" borderId="28" xfId="0" applyNumberFormat="1" applyFont="1" applyFill="1" applyBorder="1" applyAlignment="1">
      <alignment horizontal="center" vertical="center"/>
    </xf>
    <xf numFmtId="175" fontId="10" fillId="0" borderId="28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175" fontId="9" fillId="0" borderId="28" xfId="0" applyNumberFormat="1" applyFont="1" applyFill="1" applyBorder="1" applyAlignment="1">
      <alignment horizontal="center" vertical="center"/>
    </xf>
    <xf numFmtId="175" fontId="1" fillId="0" borderId="28" xfId="0" applyNumberFormat="1" applyFont="1" applyFill="1" applyBorder="1" applyAlignment="1">
      <alignment horizontal="center" vertical="center"/>
    </xf>
    <xf numFmtId="175" fontId="2" fillId="33" borderId="28" xfId="0" applyNumberFormat="1" applyFont="1" applyFill="1" applyBorder="1" applyAlignment="1">
      <alignment horizontal="center" vertical="center"/>
    </xf>
    <xf numFmtId="175" fontId="6" fillId="41" borderId="28" xfId="0" applyNumberFormat="1" applyFont="1" applyFill="1" applyBorder="1" applyAlignment="1">
      <alignment horizontal="center" vertical="center"/>
    </xf>
    <xf numFmtId="175" fontId="7" fillId="0" borderId="60" xfId="0" applyNumberFormat="1" applyFont="1" applyFill="1" applyBorder="1" applyAlignment="1">
      <alignment horizontal="center" vertical="center"/>
    </xf>
    <xf numFmtId="175" fontId="7" fillId="0" borderId="47" xfId="0" applyNumberFormat="1" applyFont="1" applyFill="1" applyBorder="1" applyAlignment="1">
      <alignment horizontal="center" vertical="center"/>
    </xf>
    <xf numFmtId="175" fontId="7" fillId="0" borderId="39" xfId="0" applyNumberFormat="1" applyFont="1" applyFill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2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49" xfId="0" applyNumberFormat="1" applyFont="1" applyFill="1" applyBorder="1" applyAlignment="1">
      <alignment horizontal="center" vertical="center"/>
    </xf>
    <xf numFmtId="175" fontId="0" fillId="0" borderId="65" xfId="0" applyNumberFormat="1" applyFont="1" applyFill="1" applyBorder="1" applyAlignment="1">
      <alignment horizontal="center" vertical="center"/>
    </xf>
    <xf numFmtId="175" fontId="6" fillId="0" borderId="6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4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4" fillId="0" borderId="3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40" borderId="14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28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/>
    </xf>
    <xf numFmtId="173" fontId="37" fillId="0" borderId="28" xfId="0" applyNumberFormat="1" applyFont="1" applyFill="1" applyBorder="1" applyAlignment="1">
      <alignment horizontal="center" vertical="center"/>
    </xf>
    <xf numFmtId="173" fontId="40" fillId="0" borderId="11" xfId="0" applyNumberFormat="1" applyFont="1" applyFill="1" applyBorder="1" applyAlignment="1">
      <alignment horizontal="center" vertical="center" wrapText="1"/>
    </xf>
    <xf numFmtId="173" fontId="40" fillId="0" borderId="28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173" fontId="38" fillId="0" borderId="28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28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28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173" fontId="40" fillId="0" borderId="11" xfId="0" applyNumberFormat="1" applyFont="1" applyBorder="1" applyAlignment="1">
      <alignment horizontal="center" vertical="center" wrapText="1"/>
    </xf>
    <xf numFmtId="173" fontId="40" fillId="0" borderId="28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/>
    </xf>
    <xf numFmtId="173" fontId="37" fillId="0" borderId="28" xfId="0" applyNumberFormat="1" applyFont="1" applyBorder="1" applyAlignment="1">
      <alignment horizontal="center" vertical="center"/>
    </xf>
    <xf numFmtId="173" fontId="20" fillId="0" borderId="28" xfId="0" applyNumberFormat="1" applyFont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 vertical="center" wrapText="1"/>
    </xf>
    <xf numFmtId="173" fontId="23" fillId="0" borderId="28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28" xfId="0" applyNumberFormat="1" applyFont="1" applyFill="1" applyBorder="1" applyAlignment="1">
      <alignment horizontal="center" vertical="center" wrapText="1"/>
    </xf>
    <xf numFmtId="173" fontId="23" fillId="36" borderId="10" xfId="0" applyNumberFormat="1" applyFont="1" applyFill="1" applyBorder="1" applyAlignment="1">
      <alignment horizontal="center" vertical="center" wrapText="1"/>
    </xf>
    <xf numFmtId="173" fontId="49" fillId="34" borderId="22" xfId="0" applyNumberFormat="1" applyFont="1" applyFill="1" applyBorder="1" applyAlignment="1">
      <alignment horizontal="center" vertical="center" wrapText="1"/>
    </xf>
    <xf numFmtId="173" fontId="49" fillId="34" borderId="23" xfId="0" applyNumberFormat="1" applyFont="1" applyFill="1" applyBorder="1" applyAlignment="1">
      <alignment horizontal="center" vertical="center" wrapText="1"/>
    </xf>
    <xf numFmtId="173" fontId="49" fillId="37" borderId="50" xfId="0" applyNumberFormat="1" applyFont="1" applyFill="1" applyBorder="1" applyAlignment="1">
      <alignment horizontal="center" vertical="center" wrapText="1"/>
    </xf>
    <xf numFmtId="173" fontId="49" fillId="37" borderId="43" xfId="0" applyNumberFormat="1" applyFont="1" applyFill="1" applyBorder="1" applyAlignment="1">
      <alignment horizontal="center" vertical="center" wrapText="1"/>
    </xf>
    <xf numFmtId="173" fontId="35" fillId="36" borderId="22" xfId="0" applyNumberFormat="1" applyFont="1" applyFill="1" applyBorder="1" applyAlignment="1">
      <alignment horizontal="center" vertical="center" wrapText="1"/>
    </xf>
    <xf numFmtId="173" fontId="35" fillId="0" borderId="11" xfId="0" applyNumberFormat="1" applyFont="1" applyFill="1" applyBorder="1" applyAlignment="1">
      <alignment horizontal="center" vertical="center" wrapText="1"/>
    </xf>
    <xf numFmtId="49" fontId="31" fillId="38" borderId="11" xfId="0" applyNumberFormat="1" applyFont="1" applyFill="1" applyBorder="1" applyAlignment="1">
      <alignment horizontal="center" vertical="top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3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6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6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wrapText="1" readingOrder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5" fontId="6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1" fillId="0" borderId="12" xfId="0" applyNumberFormat="1" applyFont="1" applyBorder="1" applyAlignment="1">
      <alignment horizontal="center" vertical="center"/>
    </xf>
    <xf numFmtId="173" fontId="35" fillId="37" borderId="22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5" fillId="36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3" fillId="36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35" fillId="36" borderId="28" xfId="0" applyNumberFormat="1" applyFont="1" applyFill="1" applyBorder="1" applyAlignment="1">
      <alignment horizontal="center" vertical="center" wrapText="1"/>
    </xf>
    <xf numFmtId="173" fontId="17" fillId="36" borderId="28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14" fillId="37" borderId="14" xfId="0" applyNumberFormat="1" applyFont="1" applyFill="1" applyBorder="1" applyAlignment="1">
      <alignment horizontal="center" vertical="center" wrapText="1"/>
    </xf>
    <xf numFmtId="173" fontId="0" fillId="37" borderId="28" xfId="0" applyNumberFormat="1" applyFont="1" applyFill="1" applyBorder="1" applyAlignment="1">
      <alignment horizontal="center" vertical="center"/>
    </xf>
    <xf numFmtId="173" fontId="23" fillId="36" borderId="28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49" fontId="34" fillId="35" borderId="57" xfId="0" applyNumberFormat="1" applyFont="1" applyFill="1" applyBorder="1" applyAlignment="1">
      <alignment horizontal="center" vertical="center" wrapText="1"/>
    </xf>
    <xf numFmtId="49" fontId="12" fillId="35" borderId="67" xfId="0" applyNumberFormat="1" applyFont="1" applyFill="1" applyBorder="1" applyAlignment="1">
      <alignment horizontal="center" vertical="top" wrapText="1"/>
    </xf>
    <xf numFmtId="173" fontId="1" fillId="35" borderId="67" xfId="0" applyNumberFormat="1" applyFont="1" applyFill="1" applyBorder="1" applyAlignment="1">
      <alignment horizontal="center" vertical="center"/>
    </xf>
    <xf numFmtId="173" fontId="1" fillId="35" borderId="58" xfId="0" applyNumberFormat="1" applyFont="1" applyFill="1" applyBorder="1" applyAlignment="1">
      <alignment horizontal="center" vertical="center"/>
    </xf>
    <xf numFmtId="173" fontId="35" fillId="34" borderId="23" xfId="0" applyNumberFormat="1" applyFont="1" applyFill="1" applyBorder="1" applyAlignment="1">
      <alignment horizontal="center" vertical="top" wrapText="1"/>
    </xf>
    <xf numFmtId="173" fontId="35" fillId="34" borderId="27" xfId="0" applyNumberFormat="1" applyFont="1" applyFill="1" applyBorder="1" applyAlignment="1">
      <alignment horizontal="center" vertical="top" wrapText="1"/>
    </xf>
    <xf numFmtId="49" fontId="34" fillId="0" borderId="45" xfId="0" applyNumberFormat="1" applyFont="1" applyFill="1" applyBorder="1" applyAlignment="1">
      <alignment horizontal="center" vertical="center" wrapText="1"/>
    </xf>
    <xf numFmtId="49" fontId="30" fillId="0" borderId="68" xfId="0" applyNumberFormat="1" applyFont="1" applyFill="1" applyBorder="1" applyAlignment="1">
      <alignment horizontal="center" vertical="top" wrapText="1"/>
    </xf>
    <xf numFmtId="173" fontId="1" fillId="0" borderId="68" xfId="0" applyNumberFormat="1" applyFont="1" applyFill="1" applyBorder="1" applyAlignment="1">
      <alignment horizontal="center" vertical="center"/>
    </xf>
    <xf numFmtId="173" fontId="1" fillId="0" borderId="46" xfId="0" applyNumberFormat="1" applyFont="1" applyFill="1" applyBorder="1" applyAlignment="1">
      <alignment horizontal="center" vertical="center"/>
    </xf>
    <xf numFmtId="173" fontId="35" fillId="0" borderId="28" xfId="0" applyNumberFormat="1" applyFont="1" applyFill="1" applyBorder="1" applyAlignment="1">
      <alignment horizontal="center" vertical="center" wrapText="1"/>
    </xf>
    <xf numFmtId="173" fontId="50" fillId="0" borderId="28" xfId="0" applyNumberFormat="1" applyFont="1" applyFill="1" applyBorder="1" applyAlignment="1">
      <alignment horizontal="center" vertical="center" wrapText="1"/>
    </xf>
    <xf numFmtId="173" fontId="31" fillId="0" borderId="28" xfId="0" applyNumberFormat="1" applyFont="1" applyBorder="1" applyAlignment="1">
      <alignment horizontal="center" vertical="center"/>
    </xf>
    <xf numFmtId="173" fontId="31" fillId="0" borderId="29" xfId="0" applyNumberFormat="1" applyFont="1" applyBorder="1" applyAlignment="1">
      <alignment horizontal="center" vertical="center"/>
    </xf>
    <xf numFmtId="0" fontId="30" fillId="36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30" fillId="36" borderId="20" xfId="0" applyFont="1" applyFill="1" applyBorder="1" applyAlignment="1">
      <alignment vertical="top" wrapText="1"/>
    </xf>
    <xf numFmtId="0" fontId="41" fillId="37" borderId="20" xfId="0" applyFont="1" applyFill="1" applyBorder="1" applyAlignment="1">
      <alignment vertical="top" wrapText="1"/>
    </xf>
    <xf numFmtId="0" fontId="30" fillId="36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13" fillId="36" borderId="20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49" fontId="30" fillId="35" borderId="69" xfId="0" applyNumberFormat="1" applyFont="1" applyFill="1" applyBorder="1" applyAlignment="1">
      <alignment horizontal="left" vertical="center" wrapText="1"/>
    </xf>
    <xf numFmtId="49" fontId="13" fillId="0" borderId="70" xfId="0" applyNumberFormat="1" applyFont="1" applyFill="1" applyBorder="1" applyAlignment="1">
      <alignment horizontal="justify" vertical="justify" wrapText="1"/>
    </xf>
    <xf numFmtId="49" fontId="30" fillId="0" borderId="20" xfId="0" applyNumberFormat="1" applyFont="1" applyFill="1" applyBorder="1" applyAlignment="1">
      <alignment horizontal="justify" vertical="justify" wrapText="1"/>
    </xf>
    <xf numFmtId="49" fontId="30" fillId="0" borderId="20" xfId="0" applyNumberFormat="1" applyFont="1" applyFill="1" applyBorder="1" applyAlignment="1">
      <alignment horizontal="left" vertical="center" wrapText="1"/>
    </xf>
    <xf numFmtId="0" fontId="14" fillId="37" borderId="17" xfId="0" applyFont="1" applyFill="1" applyBorder="1" applyAlignment="1">
      <alignment/>
    </xf>
    <xf numFmtId="173" fontId="35" fillId="34" borderId="61" xfId="0" applyNumberFormat="1" applyFont="1" applyFill="1" applyBorder="1" applyAlignment="1">
      <alignment horizontal="center" vertical="top" wrapText="1"/>
    </xf>
    <xf numFmtId="173" fontId="1" fillId="35" borderId="71" xfId="0" applyNumberFormat="1" applyFont="1" applyFill="1" applyBorder="1" applyAlignment="1">
      <alignment horizontal="center" vertical="center"/>
    </xf>
    <xf numFmtId="173" fontId="1" fillId="0" borderId="72" xfId="0" applyNumberFormat="1" applyFont="1" applyFill="1" applyBorder="1" applyAlignment="1">
      <alignment horizontal="center" vertical="center"/>
    </xf>
    <xf numFmtId="173" fontId="35" fillId="0" borderId="18" xfId="0" applyNumberFormat="1" applyFont="1" applyFill="1" applyBorder="1" applyAlignment="1">
      <alignment horizontal="center" vertical="center" wrapText="1"/>
    </xf>
    <xf numFmtId="173" fontId="50" fillId="0" borderId="18" xfId="0" applyNumberFormat="1" applyFont="1" applyFill="1" applyBorder="1" applyAlignment="1">
      <alignment horizontal="center" vertical="center" wrapText="1"/>
    </xf>
    <xf numFmtId="173" fontId="31" fillId="0" borderId="18" xfId="0" applyNumberFormat="1" applyFont="1" applyBorder="1" applyAlignment="1">
      <alignment horizontal="center" vertical="center"/>
    </xf>
    <xf numFmtId="173" fontId="31" fillId="0" borderId="34" xfId="0" applyNumberFormat="1" applyFont="1" applyBorder="1" applyAlignment="1">
      <alignment horizontal="center" vertical="center"/>
    </xf>
    <xf numFmtId="173" fontId="35" fillId="37" borderId="44" xfId="0" applyNumberFormat="1" applyFont="1" applyFill="1" applyBorder="1" applyAlignment="1">
      <alignment horizontal="center" vertical="top" wrapText="1"/>
    </xf>
    <xf numFmtId="173" fontId="35" fillId="35" borderId="63" xfId="0" applyNumberFormat="1" applyFont="1" applyFill="1" applyBorder="1" applyAlignment="1">
      <alignment horizontal="center" vertical="center" wrapText="1"/>
    </xf>
    <xf numFmtId="173" fontId="35" fillId="0" borderId="36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173" fontId="50" fillId="0" borderId="6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38" borderId="73" xfId="0" applyFont="1" applyFill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173" fontId="9" fillId="0" borderId="65" xfId="0" applyNumberFormat="1" applyFont="1" applyBorder="1" applyAlignment="1">
      <alignment horizontal="center" vertical="center" wrapText="1"/>
    </xf>
    <xf numFmtId="173" fontId="40" fillId="37" borderId="22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173" fontId="38" fillId="0" borderId="74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1" fillId="0" borderId="49" xfId="0" applyFont="1" applyBorder="1" applyAlignment="1">
      <alignment horizontal="center"/>
    </xf>
    <xf numFmtId="0" fontId="19" fillId="0" borderId="7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41" fillId="37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9" fontId="14" fillId="36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4" fillId="37" borderId="25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5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73" fontId="30" fillId="0" borderId="15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3" fontId="2" fillId="0" borderId="27" xfId="0" applyNumberFormat="1" applyFont="1" applyBorder="1" applyAlignment="1">
      <alignment horizontal="center" vertical="center" wrapText="1"/>
    </xf>
    <xf numFmtId="175" fontId="38" fillId="0" borderId="74" xfId="0" applyNumberFormat="1" applyFont="1" applyFill="1" applyBorder="1" applyAlignment="1">
      <alignment horizontal="center" vertical="center" wrapText="1"/>
    </xf>
    <xf numFmtId="175" fontId="1" fillId="0" borderId="27" xfId="0" applyNumberFormat="1" applyFont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 wrapText="1"/>
    </xf>
    <xf numFmtId="2" fontId="38" fillId="0" borderId="74" xfId="0" applyNumberFormat="1" applyFont="1" applyBorder="1" applyAlignment="1">
      <alignment horizontal="center" vertical="center" wrapText="1"/>
    </xf>
    <xf numFmtId="175" fontId="38" fillId="0" borderId="74" xfId="0" applyNumberFormat="1" applyFont="1" applyBorder="1" applyAlignment="1">
      <alignment horizontal="center" vertical="center" wrapText="1"/>
    </xf>
    <xf numFmtId="173" fontId="38" fillId="0" borderId="76" xfId="0" applyNumberFormat="1" applyFont="1" applyBorder="1" applyAlignment="1">
      <alignment horizontal="center" vertical="center" wrapText="1"/>
    </xf>
    <xf numFmtId="173" fontId="38" fillId="0" borderId="74" xfId="0" applyNumberFormat="1" applyFont="1" applyBorder="1" applyAlignment="1">
      <alignment horizontal="center" vertical="center" wrapText="1"/>
    </xf>
    <xf numFmtId="173" fontId="38" fillId="37" borderId="74" xfId="0" applyNumberFormat="1" applyFont="1" applyFill="1" applyBorder="1" applyAlignment="1">
      <alignment horizontal="center" vertical="center" wrapText="1"/>
    </xf>
    <xf numFmtId="2" fontId="38" fillId="0" borderId="77" xfId="0" applyNumberFormat="1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2" fontId="34" fillId="0" borderId="31" xfId="0" applyNumberFormat="1" applyFont="1" applyBorder="1" applyAlignment="1">
      <alignment horizontal="center" vertical="center" wrapText="1"/>
    </xf>
    <xf numFmtId="2" fontId="34" fillId="0" borderId="30" xfId="0" applyNumberFormat="1" applyFont="1" applyBorder="1" applyAlignment="1">
      <alignment horizontal="center" vertical="center" wrapText="1"/>
    </xf>
    <xf numFmtId="173" fontId="34" fillId="0" borderId="58" xfId="0" applyNumberFormat="1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173" fontId="38" fillId="36" borderId="7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5" fontId="38" fillId="36" borderId="74" xfId="0" applyNumberFormat="1" applyFont="1" applyFill="1" applyBorder="1" applyAlignment="1">
      <alignment horizontal="center" vertical="center" wrapText="1"/>
    </xf>
    <xf numFmtId="2" fontId="34" fillId="0" borderId="45" xfId="0" applyNumberFormat="1" applyFont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top" wrapText="1"/>
    </xf>
    <xf numFmtId="0" fontId="15" fillId="34" borderId="67" xfId="0" applyFont="1" applyFill="1" applyBorder="1" applyAlignment="1">
      <alignment horizontal="center" vertical="top" wrapText="1"/>
    </xf>
    <xf numFmtId="0" fontId="14" fillId="34" borderId="69" xfId="0" applyFont="1" applyFill="1" applyBorder="1" applyAlignment="1">
      <alignment/>
    </xf>
    <xf numFmtId="173" fontId="40" fillId="34" borderId="63" xfId="0" applyNumberFormat="1" applyFont="1" applyFill="1" applyBorder="1" applyAlignment="1">
      <alignment horizontal="center" vertical="top" wrapText="1"/>
    </xf>
    <xf numFmtId="49" fontId="34" fillId="0" borderId="11" xfId="0" applyNumberFormat="1" applyFont="1" applyBorder="1" applyAlignment="1">
      <alignment horizontal="center" vertical="center" wrapText="1"/>
    </xf>
    <xf numFmtId="173" fontId="49" fillId="34" borderId="61" xfId="0" applyNumberFormat="1" applyFont="1" applyFill="1" applyBorder="1" applyAlignment="1">
      <alignment horizontal="center" vertical="center" wrapText="1"/>
    </xf>
    <xf numFmtId="173" fontId="49" fillId="37" borderId="62" xfId="0" applyNumberFormat="1" applyFont="1" applyFill="1" applyBorder="1" applyAlignment="1">
      <alignment horizontal="center" vertical="center" wrapText="1"/>
    </xf>
    <xf numFmtId="173" fontId="49" fillId="36" borderId="61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0" xfId="0" applyFont="1" applyFill="1" applyBorder="1" applyAlignment="1">
      <alignment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73" xfId="0" applyFont="1" applyFill="1" applyBorder="1" applyAlignment="1">
      <alignment horizontal="center" vertical="center" wrapText="1"/>
    </xf>
    <xf numFmtId="173" fontId="1" fillId="40" borderId="56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3" fontId="1" fillId="35" borderId="22" xfId="0" applyNumberFormat="1" applyFont="1" applyFill="1" applyBorder="1" applyAlignment="1">
      <alignment horizontal="center" vertical="center" wrapText="1"/>
    </xf>
    <xf numFmtId="173" fontId="1" fillId="0" borderId="78" xfId="0" applyNumberFormat="1" applyFont="1" applyBorder="1" applyAlignment="1">
      <alignment horizontal="center" vertical="center" wrapText="1"/>
    </xf>
    <xf numFmtId="0" fontId="1" fillId="40" borderId="30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6" fillId="40" borderId="7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3" fontId="9" fillId="0" borderId="79" xfId="0" applyNumberFormat="1" applyFont="1" applyBorder="1" applyAlignment="1">
      <alignment horizontal="center" vertical="center" wrapText="1"/>
    </xf>
    <xf numFmtId="173" fontId="1" fillId="0" borderId="79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6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5" fontId="0" fillId="33" borderId="6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 wrapText="1"/>
    </xf>
    <xf numFmtId="0" fontId="6" fillId="40" borderId="45" xfId="0" applyFont="1" applyFill="1" applyBorder="1" applyAlignment="1">
      <alignment vertical="center" wrapText="1"/>
    </xf>
    <xf numFmtId="0" fontId="1" fillId="40" borderId="68" xfId="0" applyFont="1" applyFill="1" applyBorder="1" applyAlignment="1">
      <alignment horizontal="center" vertical="center" wrapText="1"/>
    </xf>
    <xf numFmtId="173" fontId="1" fillId="40" borderId="36" xfId="0" applyNumberFormat="1" applyFont="1" applyFill="1" applyBorder="1" applyAlignment="1">
      <alignment horizontal="center" vertical="center" wrapText="1"/>
    </xf>
    <xf numFmtId="49" fontId="9" fillId="38" borderId="49" xfId="0" applyNumberFormat="1" applyFont="1" applyFill="1" applyBorder="1" applyAlignment="1">
      <alignment horizontal="center" vertical="center"/>
    </xf>
    <xf numFmtId="175" fontId="0" fillId="0" borderId="3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/>
    </xf>
    <xf numFmtId="49" fontId="26" fillId="0" borderId="1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9" fillId="35" borderId="28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35" borderId="31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left" vertical="center" wrapText="1"/>
    </xf>
    <xf numFmtId="173" fontId="1" fillId="40" borderId="25" xfId="0" applyNumberFormat="1" applyFont="1" applyFill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0" xfId="0" applyFont="1" applyFill="1" applyBorder="1" applyAlignment="1">
      <alignment horizontal="center" vertical="center" wrapText="1"/>
    </xf>
    <xf numFmtId="0" fontId="1" fillId="42" borderId="33" xfId="0" applyFont="1" applyFill="1" applyBorder="1" applyAlignment="1">
      <alignment horizontal="center" vertical="center" wrapText="1"/>
    </xf>
    <xf numFmtId="49" fontId="6" fillId="43" borderId="5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26" fillId="0" borderId="79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37" fillId="0" borderId="79" xfId="0" applyNumberFormat="1" applyFont="1" applyFill="1" applyBorder="1" applyAlignment="1">
      <alignment horizontal="center" vertical="center"/>
    </xf>
    <xf numFmtId="175" fontId="7" fillId="0" borderId="37" xfId="0" applyNumberFormat="1" applyFont="1" applyFill="1" applyBorder="1" applyAlignment="1">
      <alignment horizontal="center" vertical="center"/>
    </xf>
    <xf numFmtId="0" fontId="1" fillId="40" borderId="70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173" fontId="1" fillId="0" borderId="23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 wrapText="1"/>
    </xf>
    <xf numFmtId="49" fontId="11" fillId="39" borderId="28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5" fontId="1" fillId="0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9" fontId="7" fillId="0" borderId="80" xfId="0" applyNumberFormat="1" applyFont="1" applyBorder="1" applyAlignment="1">
      <alignment horizontal="center" vertical="center"/>
    </xf>
    <xf numFmtId="49" fontId="4" fillId="39" borderId="79" xfId="0" applyNumberFormat="1" applyFont="1" applyFill="1" applyBorder="1" applyAlignment="1">
      <alignment wrapText="1" readingOrder="1"/>
    </xf>
    <xf numFmtId="49" fontId="1" fillId="33" borderId="79" xfId="0" applyNumberFormat="1" applyFont="1" applyFill="1" applyBorder="1" applyAlignment="1">
      <alignment wrapText="1" readingOrder="1"/>
    </xf>
    <xf numFmtId="49" fontId="2" fillId="0" borderId="79" xfId="0" applyNumberFormat="1" applyFont="1" applyFill="1" applyBorder="1" applyAlignment="1">
      <alignment wrapText="1" readingOrder="1"/>
    </xf>
    <xf numFmtId="49" fontId="7" fillId="0" borderId="79" xfId="0" applyNumberFormat="1" applyFont="1" applyFill="1" applyBorder="1" applyAlignment="1">
      <alignment wrapText="1" readingOrder="1"/>
    </xf>
    <xf numFmtId="49" fontId="8" fillId="0" borderId="79" xfId="0" applyNumberFormat="1" applyFont="1" applyFill="1" applyBorder="1" applyAlignment="1">
      <alignment wrapText="1" readingOrder="1"/>
    </xf>
    <xf numFmtId="49" fontId="9" fillId="0" borderId="79" xfId="0" applyNumberFormat="1" applyFont="1" applyFill="1" applyBorder="1" applyAlignment="1">
      <alignment wrapText="1" readingOrder="1"/>
    </xf>
    <xf numFmtId="49" fontId="1" fillId="0" borderId="79" xfId="0" applyNumberFormat="1" applyFont="1" applyFill="1" applyBorder="1" applyAlignment="1">
      <alignment wrapText="1" readingOrder="1"/>
    </xf>
    <xf numFmtId="49" fontId="6" fillId="33" borderId="79" xfId="0" applyNumberFormat="1" applyFont="1" applyFill="1" applyBorder="1" applyAlignment="1">
      <alignment wrapText="1" readingOrder="1"/>
    </xf>
    <xf numFmtId="0" fontId="2" fillId="0" borderId="79" xfId="0" applyFont="1" applyFill="1" applyBorder="1" applyAlignment="1">
      <alignment wrapText="1"/>
    </xf>
    <xf numFmtId="49" fontId="10" fillId="0" borderId="79" xfId="0" applyNumberFormat="1" applyFont="1" applyFill="1" applyBorder="1" applyAlignment="1">
      <alignment wrapText="1" readingOrder="1"/>
    </xf>
    <xf numFmtId="49" fontId="8" fillId="0" borderId="79" xfId="0" applyNumberFormat="1" applyFont="1" applyFill="1" applyBorder="1" applyAlignment="1">
      <alignment wrapText="1" readingOrder="1"/>
    </xf>
    <xf numFmtId="49" fontId="9" fillId="0" borderId="79" xfId="0" applyNumberFormat="1" applyFont="1" applyFill="1" applyBorder="1" applyAlignment="1">
      <alignment wrapText="1" readingOrder="1"/>
    </xf>
    <xf numFmtId="0" fontId="2" fillId="0" borderId="7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79" xfId="0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wrapText="1" readingOrder="1"/>
    </xf>
    <xf numFmtId="49" fontId="1" fillId="0" borderId="79" xfId="0" applyNumberFormat="1" applyFont="1" applyFill="1" applyBorder="1" applyAlignment="1">
      <alignment wrapText="1" readingOrder="1"/>
    </xf>
    <xf numFmtId="0" fontId="2" fillId="0" borderId="18" xfId="0" applyFont="1" applyBorder="1" applyAlignment="1">
      <alignment vertical="center" wrapText="1"/>
    </xf>
    <xf numFmtId="49" fontId="2" fillId="35" borderId="79" xfId="0" applyNumberFormat="1" applyFont="1" applyFill="1" applyBorder="1" applyAlignment="1">
      <alignment horizontal="left" vertical="center" wrapText="1" readingOrder="1"/>
    </xf>
    <xf numFmtId="49" fontId="2" fillId="0" borderId="79" xfId="0" applyNumberFormat="1" applyFont="1" applyFill="1" applyBorder="1" applyAlignment="1">
      <alignment horizontal="left" wrapText="1" readingOrder="1"/>
    </xf>
    <xf numFmtId="49" fontId="2" fillId="35" borderId="79" xfId="0" applyNumberFormat="1" applyFont="1" applyFill="1" applyBorder="1" applyAlignment="1">
      <alignment horizontal="left" wrapText="1" readingOrder="1"/>
    </xf>
    <xf numFmtId="49" fontId="2" fillId="0" borderId="79" xfId="0" applyNumberFormat="1" applyFont="1" applyFill="1" applyBorder="1" applyAlignment="1">
      <alignment horizontal="left" vertical="center" wrapText="1" readingOrder="1"/>
    </xf>
    <xf numFmtId="49" fontId="9" fillId="0" borderId="79" xfId="0" applyNumberFormat="1" applyFont="1" applyFill="1" applyBorder="1" applyAlignment="1">
      <alignment horizontal="left" wrapText="1" readingOrder="1"/>
    </xf>
    <xf numFmtId="49" fontId="4" fillId="0" borderId="79" xfId="0" applyNumberFormat="1" applyFont="1" applyFill="1" applyBorder="1" applyAlignment="1">
      <alignment horizontal="left" wrapText="1" readingOrder="1"/>
    </xf>
    <xf numFmtId="175" fontId="7" fillId="0" borderId="65" xfId="0" applyNumberFormat="1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9" fillId="43" borderId="81" xfId="0" applyFont="1" applyFill="1" applyBorder="1" applyAlignment="1">
      <alignment horizontal="center" vertical="center" wrapText="1"/>
    </xf>
    <xf numFmtId="0" fontId="9" fillId="43" borderId="82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9" fillId="41" borderId="23" xfId="0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center" vertical="center"/>
    </xf>
    <xf numFmtId="49" fontId="7" fillId="41" borderId="19" xfId="0" applyNumberFormat="1" applyFont="1" applyFill="1" applyBorder="1" applyAlignment="1">
      <alignment horizontal="center" vertical="center"/>
    </xf>
    <xf numFmtId="49" fontId="7" fillId="33" borderId="73" xfId="0" applyNumberFormat="1" applyFont="1" applyFill="1" applyBorder="1" applyAlignment="1">
      <alignment horizontal="center" vertical="center"/>
    </xf>
    <xf numFmtId="175" fontId="1" fillId="41" borderId="22" xfId="0" applyNumberFormat="1" applyFont="1" applyFill="1" applyBorder="1" applyAlignment="1">
      <alignment horizontal="center" vertical="center"/>
    </xf>
    <xf numFmtId="175" fontId="2" fillId="33" borderId="5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28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3" fontId="37" fillId="0" borderId="65" xfId="0" applyNumberFormat="1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8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173" fontId="37" fillId="0" borderId="25" xfId="0" applyNumberFormat="1" applyFont="1" applyBorder="1" applyAlignment="1">
      <alignment horizontal="center" vertical="center" wrapText="1"/>
    </xf>
    <xf numFmtId="173" fontId="1" fillId="0" borderId="25" xfId="0" applyNumberFormat="1" applyFont="1" applyBorder="1" applyAlignment="1">
      <alignment horizontal="center" vertical="center" wrapText="1"/>
    </xf>
    <xf numFmtId="173" fontId="10" fillId="0" borderId="25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6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7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56" xfId="0" applyNumberFormat="1" applyFont="1" applyFill="1" applyBorder="1" applyAlignment="1">
      <alignment horizontal="center" vertical="center"/>
    </xf>
    <xf numFmtId="49" fontId="6" fillId="43" borderId="22" xfId="0" applyNumberFormat="1" applyFont="1" applyFill="1" applyBorder="1" applyAlignment="1">
      <alignment horizontal="center" vertical="center" wrapText="1"/>
    </xf>
    <xf numFmtId="49" fontId="6" fillId="43" borderId="15" xfId="0" applyNumberFormat="1" applyFont="1" applyFill="1" applyBorder="1" applyAlignment="1">
      <alignment horizontal="center" vertical="center" wrapText="1"/>
    </xf>
    <xf numFmtId="49" fontId="6" fillId="43" borderId="23" xfId="0" applyNumberFormat="1" applyFont="1" applyFill="1" applyBorder="1" applyAlignment="1">
      <alignment horizontal="center" vertical="center" wrapText="1"/>
    </xf>
    <xf numFmtId="49" fontId="6" fillId="43" borderId="27" xfId="0" applyNumberFormat="1" applyFont="1" applyFill="1" applyBorder="1" applyAlignment="1">
      <alignment horizontal="center" vertical="center" wrapText="1"/>
    </xf>
    <xf numFmtId="175" fontId="6" fillId="43" borderId="2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73" fontId="37" fillId="0" borderId="0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73" fontId="1" fillId="0" borderId="61" xfId="0" applyNumberFormat="1" applyFont="1" applyBorder="1" applyAlignment="1">
      <alignment/>
    </xf>
    <xf numFmtId="0" fontId="33" fillId="0" borderId="0" xfId="0" applyFont="1" applyAlignment="1">
      <alignment horizontal="justify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3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173" fontId="33" fillId="0" borderId="33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30" xfId="0" applyNumberFormat="1" applyFont="1" applyBorder="1" applyAlignment="1" applyProtection="1">
      <alignment horizontal="center" vertical="top" wrapText="1"/>
      <protection locked="0"/>
    </xf>
    <xf numFmtId="0" fontId="33" fillId="0" borderId="31" xfId="0" applyFont="1" applyBorder="1" applyAlignment="1">
      <alignment horizontal="center" vertical="top" wrapText="1"/>
    </xf>
    <xf numFmtId="0" fontId="33" fillId="0" borderId="14" xfId="0" applyNumberFormat="1" applyFont="1" applyBorder="1" applyAlignment="1" applyProtection="1">
      <alignment horizontal="center" vertical="top" wrapText="1"/>
      <protection locked="0"/>
    </xf>
    <xf numFmtId="0" fontId="33" fillId="0" borderId="28" xfId="0" applyFont="1" applyBorder="1" applyAlignment="1">
      <alignment horizontal="center" vertical="top" wrapText="1"/>
    </xf>
    <xf numFmtId="0" fontId="33" fillId="0" borderId="38" xfId="0" applyNumberFormat="1" applyFont="1" applyBorder="1" applyAlignment="1" applyProtection="1">
      <alignment horizontal="center" vertical="top" wrapText="1"/>
      <protection locked="0"/>
    </xf>
    <xf numFmtId="0" fontId="18" fillId="0" borderId="47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21" fillId="0" borderId="2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37" borderId="14" xfId="0" applyNumberFormat="1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7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left" vertical="center" wrapText="1"/>
    </xf>
    <xf numFmtId="0" fontId="1" fillId="44" borderId="33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28" xfId="0" applyNumberFormat="1" applyFont="1" applyFill="1" applyBorder="1" applyAlignment="1">
      <alignment horizontal="center" vertical="center" wrapText="1"/>
    </xf>
    <xf numFmtId="49" fontId="7" fillId="44" borderId="18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left" vertical="center" wrapText="1" readingOrder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175" fontId="1" fillId="33" borderId="56" xfId="0" applyNumberFormat="1" applyFont="1" applyFill="1" applyBorder="1" applyAlignment="1">
      <alignment horizontal="center" vertical="center"/>
    </xf>
    <xf numFmtId="49" fontId="6" fillId="43" borderId="17" xfId="0" applyNumberFormat="1" applyFont="1" applyFill="1" applyBorder="1" applyAlignment="1">
      <alignment horizontal="left" vertical="center" wrapText="1" readingOrder="1"/>
    </xf>
    <xf numFmtId="0" fontId="9" fillId="0" borderId="38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49" fontId="9" fillId="0" borderId="7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63" xfId="0" applyNumberFormat="1" applyFont="1" applyFill="1" applyBorder="1" applyAlignment="1">
      <alignment horizontal="center" vertical="center"/>
    </xf>
    <xf numFmtId="175" fontId="10" fillId="0" borderId="63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0" xfId="0" applyNumberFormat="1" applyFont="1" applyFill="1" applyBorder="1" applyAlignment="1">
      <alignment horizontal="center" vertical="center" wrapText="1"/>
    </xf>
    <xf numFmtId="175" fontId="1" fillId="45" borderId="56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28" xfId="0" applyFont="1" applyFill="1" applyBorder="1" applyAlignment="1">
      <alignment horizontal="center" vertical="center"/>
    </xf>
    <xf numFmtId="49" fontId="10" fillId="45" borderId="79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33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 wrapText="1"/>
    </xf>
    <xf numFmtId="49" fontId="1" fillId="45" borderId="3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6" fillId="45" borderId="56" xfId="0" applyNumberFormat="1" applyFont="1" applyFill="1" applyBorder="1" applyAlignment="1">
      <alignment horizontal="center" vertical="center"/>
    </xf>
    <xf numFmtId="49" fontId="37" fillId="45" borderId="31" xfId="0" applyNumberFormat="1" applyFont="1" applyFill="1" applyBorder="1" applyAlignment="1">
      <alignment horizontal="center" vertical="center" wrapText="1"/>
    </xf>
    <xf numFmtId="49" fontId="0" fillId="45" borderId="32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0" fontId="10" fillId="42" borderId="31" xfId="0" applyFont="1" applyFill="1" applyBorder="1" applyAlignment="1">
      <alignment horizontal="center" vertical="center"/>
    </xf>
    <xf numFmtId="49" fontId="10" fillId="42" borderId="32" xfId="0" applyNumberFormat="1" applyFont="1" applyFill="1" applyBorder="1" applyAlignment="1">
      <alignment horizontal="center" vertical="center"/>
    </xf>
    <xf numFmtId="175" fontId="7" fillId="0" borderId="78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wrapText="1" readingOrder="1"/>
    </xf>
    <xf numFmtId="49" fontId="7" fillId="0" borderId="74" xfId="0" applyNumberFormat="1" applyFont="1" applyFill="1" applyBorder="1" applyAlignment="1">
      <alignment wrapText="1" readingOrder="1"/>
    </xf>
    <xf numFmtId="49" fontId="6" fillId="45" borderId="74" xfId="0" applyNumberFormat="1" applyFont="1" applyFill="1" applyBorder="1" applyAlignment="1">
      <alignment wrapText="1" readingOrder="1"/>
    </xf>
    <xf numFmtId="0" fontId="2" fillId="0" borderId="74" xfId="0" applyFont="1" applyBorder="1" applyAlignment="1">
      <alignment vertical="center" wrapText="1"/>
    </xf>
    <xf numFmtId="49" fontId="6" fillId="45" borderId="84" xfId="0" applyNumberFormat="1" applyFont="1" applyFill="1" applyBorder="1" applyAlignment="1">
      <alignment horizontal="left" vertical="center" wrapText="1" readingOrder="1"/>
    </xf>
    <xf numFmtId="49" fontId="7" fillId="0" borderId="85" xfId="0" applyNumberFormat="1" applyFont="1" applyFill="1" applyBorder="1" applyAlignment="1">
      <alignment wrapText="1" readingOrder="1"/>
    </xf>
    <xf numFmtId="49" fontId="2" fillId="35" borderId="74" xfId="0" applyNumberFormat="1" applyFont="1" applyFill="1" applyBorder="1" applyAlignment="1">
      <alignment horizontal="left" vertical="center" wrapText="1" readingOrder="1"/>
    </xf>
    <xf numFmtId="49" fontId="2" fillId="0" borderId="74" xfId="0" applyNumberFormat="1" applyFont="1" applyFill="1" applyBorder="1" applyAlignment="1">
      <alignment horizontal="left" wrapText="1" readingOrder="1"/>
    </xf>
    <xf numFmtId="177" fontId="2" fillId="0" borderId="74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4" xfId="0" applyNumberFormat="1" applyFont="1" applyFill="1" applyBorder="1" applyAlignment="1">
      <alignment horizontal="left" wrapText="1" readingOrder="1"/>
    </xf>
    <xf numFmtId="0" fontId="6" fillId="42" borderId="84" xfId="0" applyFont="1" applyFill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horizontal="left" vertical="center" wrapText="1" readingOrder="1"/>
    </xf>
    <xf numFmtId="49" fontId="6" fillId="46" borderId="56" xfId="0" applyNumberFormat="1" applyFont="1" applyFill="1" applyBorder="1" applyAlignment="1">
      <alignment horizontal="center" vertical="center" wrapText="1"/>
    </xf>
    <xf numFmtId="0" fontId="6" fillId="46" borderId="33" xfId="0" applyFont="1" applyFill="1" applyBorder="1" applyAlignment="1">
      <alignment horizontal="center" vertical="center" wrapText="1"/>
    </xf>
    <xf numFmtId="49" fontId="43" fillId="46" borderId="35" xfId="0" applyNumberFormat="1" applyFont="1" applyFill="1" applyBorder="1" applyAlignment="1">
      <alignment horizontal="center" vertical="center" wrapText="1"/>
    </xf>
    <xf numFmtId="175" fontId="1" fillId="46" borderId="56" xfId="0" applyNumberFormat="1" applyFont="1" applyFill="1" applyBorder="1" applyAlignment="1">
      <alignment horizontal="center" vertical="center"/>
    </xf>
    <xf numFmtId="49" fontId="1" fillId="46" borderId="30" xfId="0" applyNumberFormat="1" applyFont="1" applyFill="1" applyBorder="1" applyAlignment="1">
      <alignment horizontal="center" vertical="center" wrapText="1"/>
    </xf>
    <xf numFmtId="49" fontId="1" fillId="46" borderId="33" xfId="0" applyNumberFormat="1" applyFont="1" applyFill="1" applyBorder="1" applyAlignment="1">
      <alignment horizontal="center" vertical="center" wrapText="1"/>
    </xf>
    <xf numFmtId="49" fontId="1" fillId="46" borderId="31" xfId="0" applyNumberFormat="1" applyFont="1" applyFill="1" applyBorder="1" applyAlignment="1">
      <alignment horizontal="center" vertical="center" wrapText="1"/>
    </xf>
    <xf numFmtId="49" fontId="1" fillId="46" borderId="35" xfId="0" applyNumberFormat="1" applyFont="1" applyFill="1" applyBorder="1" applyAlignment="1">
      <alignment horizontal="center" vertical="center" wrapText="1"/>
    </xf>
    <xf numFmtId="175" fontId="1" fillId="46" borderId="56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 wrapText="1"/>
    </xf>
    <xf numFmtId="49" fontId="7" fillId="46" borderId="31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33" xfId="0" applyNumberFormat="1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9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28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4" xfId="0" applyNumberFormat="1" applyFont="1" applyFill="1" applyBorder="1" applyAlignment="1">
      <alignment wrapText="1" readingOrder="1"/>
    </xf>
    <xf numFmtId="49" fontId="10" fillId="46" borderId="79" xfId="0" applyNumberFormat="1" applyFont="1" applyFill="1" applyBorder="1" applyAlignment="1">
      <alignment horizontal="center" vertical="center"/>
    </xf>
    <xf numFmtId="49" fontId="6" fillId="46" borderId="78" xfId="0" applyNumberFormat="1" applyFont="1" applyFill="1" applyBorder="1" applyAlignment="1">
      <alignment horizontal="center" vertical="center"/>
    </xf>
    <xf numFmtId="0" fontId="6" fillId="46" borderId="62" xfId="0" applyFont="1" applyFill="1" applyBorder="1" applyAlignment="1">
      <alignment vertical="center" wrapText="1"/>
    </xf>
    <xf numFmtId="0" fontId="1" fillId="46" borderId="50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78" xfId="0" applyNumberFormat="1" applyFont="1" applyFill="1" applyBorder="1" applyAlignment="1">
      <alignment horizontal="center" vertical="center"/>
    </xf>
    <xf numFmtId="0" fontId="6" fillId="46" borderId="35" xfId="0" applyFont="1" applyFill="1" applyBorder="1" applyAlignment="1">
      <alignment vertical="center" wrapText="1"/>
    </xf>
    <xf numFmtId="0" fontId="1" fillId="46" borderId="33" xfId="0" applyFont="1" applyFill="1" applyBorder="1" applyAlignment="1">
      <alignment horizontal="center" vertical="center" wrapText="1"/>
    </xf>
    <xf numFmtId="175" fontId="1" fillId="46" borderId="63" xfId="0" applyNumberFormat="1" applyFont="1" applyFill="1" applyBorder="1" applyAlignment="1">
      <alignment horizontal="center" vertical="center"/>
    </xf>
    <xf numFmtId="0" fontId="6" fillId="47" borderId="61" xfId="0" applyFont="1" applyFill="1" applyBorder="1" applyAlignment="1">
      <alignment vertical="center" wrapText="1"/>
    </xf>
    <xf numFmtId="0" fontId="6" fillId="47" borderId="23" xfId="0" applyFont="1" applyFill="1" applyBorder="1" applyAlignment="1">
      <alignment horizontal="center" vertical="center" wrapText="1"/>
    </xf>
    <xf numFmtId="49" fontId="43" fillId="47" borderId="61" xfId="0" applyNumberFormat="1" applyFont="1" applyFill="1" applyBorder="1" applyAlignment="1">
      <alignment horizontal="center" vertical="center" wrapText="1"/>
    </xf>
    <xf numFmtId="175" fontId="6" fillId="47" borderId="22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left" vertical="center" wrapText="1" readingOrder="1"/>
    </xf>
    <xf numFmtId="49" fontId="6" fillId="47" borderId="15" xfId="0" applyNumberFormat="1" applyFont="1" applyFill="1" applyBorder="1" applyAlignment="1">
      <alignment horizontal="center" vertical="center" wrapText="1"/>
    </xf>
    <xf numFmtId="49" fontId="6" fillId="47" borderId="23" xfId="0" applyNumberFormat="1" applyFont="1" applyFill="1" applyBorder="1" applyAlignment="1">
      <alignment horizontal="center" vertical="center" wrapText="1"/>
    </xf>
    <xf numFmtId="49" fontId="6" fillId="47" borderId="27" xfId="0" applyNumberFormat="1" applyFont="1" applyFill="1" applyBorder="1" applyAlignment="1">
      <alignment horizontal="center" vertical="center" wrapText="1"/>
    </xf>
    <xf numFmtId="49" fontId="6" fillId="47" borderId="61" xfId="0" applyNumberFormat="1" applyFont="1" applyFill="1" applyBorder="1" applyAlignment="1">
      <alignment horizontal="center" vertical="center" wrapText="1"/>
    </xf>
    <xf numFmtId="175" fontId="6" fillId="47" borderId="22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/>
    </xf>
    <xf numFmtId="49" fontId="6" fillId="47" borderId="44" xfId="0" applyNumberFormat="1" applyFont="1" applyFill="1" applyBorder="1" applyAlignment="1">
      <alignment wrapText="1" readingOrder="1"/>
    </xf>
    <xf numFmtId="49" fontId="6" fillId="47" borderId="23" xfId="0" applyNumberFormat="1" applyFont="1" applyFill="1" applyBorder="1" applyAlignment="1">
      <alignment horizontal="center" vertical="center"/>
    </xf>
    <xf numFmtId="0" fontId="6" fillId="47" borderId="23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/>
    </xf>
    <xf numFmtId="0" fontId="6" fillId="47" borderId="61" xfId="0" applyFont="1" applyFill="1" applyBorder="1" applyAlignment="1">
      <alignment vertical="center" wrapText="1"/>
    </xf>
    <xf numFmtId="0" fontId="6" fillId="47" borderId="23" xfId="0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wrapText="1" readingOrder="1"/>
    </xf>
    <xf numFmtId="49" fontId="6" fillId="46" borderId="56" xfId="0" applyNumberFormat="1" applyFont="1" applyFill="1" applyBorder="1" applyAlignment="1">
      <alignment horizontal="center" vertical="center"/>
    </xf>
    <xf numFmtId="49" fontId="1" fillId="46" borderId="33" xfId="0" applyNumberFormat="1" applyFont="1" applyFill="1" applyBorder="1" applyAlignment="1">
      <alignment horizontal="center" vertical="center"/>
    </xf>
    <xf numFmtId="49" fontId="1" fillId="46" borderId="31" xfId="0" applyNumberFormat="1" applyFont="1" applyFill="1" applyBorder="1" applyAlignment="1">
      <alignment horizontal="center" vertical="center"/>
    </xf>
    <xf numFmtId="49" fontId="1" fillId="46" borderId="35" xfId="0" applyNumberFormat="1" applyFont="1" applyFill="1" applyBorder="1" applyAlignment="1">
      <alignment horizontal="center" vertical="center"/>
    </xf>
    <xf numFmtId="49" fontId="6" fillId="47" borderId="27" xfId="0" applyNumberFormat="1" applyFont="1" applyFill="1" applyBorder="1" applyAlignment="1">
      <alignment horizontal="center" vertical="center"/>
    </xf>
    <xf numFmtId="49" fontId="6" fillId="47" borderId="6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7" fillId="46" borderId="31" xfId="0" applyNumberFormat="1" applyFont="1" applyFill="1" applyBorder="1" applyAlignment="1">
      <alignment horizontal="center" vertical="center" wrapText="1"/>
    </xf>
    <xf numFmtId="49" fontId="0" fillId="46" borderId="35" xfId="0" applyNumberFormat="1" applyFont="1" applyFill="1" applyBorder="1" applyAlignment="1">
      <alignment horizontal="center" vertical="center"/>
    </xf>
    <xf numFmtId="49" fontId="43" fillId="47" borderId="23" xfId="0" applyNumberFormat="1" applyFont="1" applyFill="1" applyBorder="1" applyAlignment="1">
      <alignment horizontal="center" vertical="center" wrapText="1"/>
    </xf>
    <xf numFmtId="49" fontId="47" fillId="47" borderId="27" xfId="0" applyNumberFormat="1" applyFont="1" applyFill="1" applyBorder="1" applyAlignment="1">
      <alignment horizontal="center" vertical="center" wrapText="1"/>
    </xf>
    <xf numFmtId="49" fontId="43" fillId="47" borderId="61" xfId="0" applyNumberFormat="1" applyFont="1" applyFill="1" applyBorder="1" applyAlignment="1">
      <alignment horizontal="center" vertical="center"/>
    </xf>
    <xf numFmtId="49" fontId="43" fillId="47" borderId="27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left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75" fontId="6" fillId="0" borderId="65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wrapText="1" readingOrder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175" fontId="6" fillId="0" borderId="65" xfId="0" applyNumberFormat="1" applyFont="1" applyFill="1" applyBorder="1" applyAlignment="1">
      <alignment horizontal="center" vertical="center"/>
    </xf>
    <xf numFmtId="175" fontId="1" fillId="33" borderId="7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7" xfId="0" applyNumberFormat="1" applyFont="1" applyFill="1" applyBorder="1" applyAlignment="1">
      <alignment horizontal="center" vertical="center"/>
    </xf>
    <xf numFmtId="0" fontId="34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49" fontId="53" fillId="0" borderId="14" xfId="0" applyNumberFormat="1" applyFont="1" applyBorder="1" applyAlignment="1">
      <alignment horizontal="center" vertical="center" wrapText="1"/>
    </xf>
    <xf numFmtId="49" fontId="14" fillId="37" borderId="15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vertical="top" wrapText="1"/>
    </xf>
    <xf numFmtId="173" fontId="51" fillId="0" borderId="11" xfId="0" applyNumberFormat="1" applyFont="1" applyBorder="1" applyAlignment="1">
      <alignment horizontal="center" vertical="center" wrapText="1"/>
    </xf>
    <xf numFmtId="173" fontId="49" fillId="37" borderId="55" xfId="0" applyNumberFormat="1" applyFont="1" applyFill="1" applyBorder="1" applyAlignment="1">
      <alignment horizontal="center" vertical="center" wrapText="1"/>
    </xf>
    <xf numFmtId="173" fontId="40" fillId="0" borderId="25" xfId="0" applyNumberFormat="1" applyFont="1" applyBorder="1" applyAlignment="1">
      <alignment horizontal="center" vertical="center" wrapText="1"/>
    </xf>
    <xf numFmtId="173" fontId="51" fillId="0" borderId="25" xfId="0" applyNumberFormat="1" applyFont="1" applyBorder="1" applyAlignment="1">
      <alignment horizontal="center" vertical="center" wrapText="1"/>
    </xf>
    <xf numFmtId="173" fontId="38" fillId="0" borderId="25" xfId="0" applyNumberFormat="1" applyFont="1" applyBorder="1" applyAlignment="1">
      <alignment horizontal="center" vertical="center" wrapText="1"/>
    </xf>
    <xf numFmtId="173" fontId="35" fillId="36" borderId="25" xfId="0" applyNumberFormat="1" applyFont="1" applyFill="1" applyBorder="1" applyAlignment="1">
      <alignment horizontal="center" vertical="center" wrapText="1"/>
    </xf>
    <xf numFmtId="173" fontId="17" fillId="36" borderId="25" xfId="0" applyNumberFormat="1" applyFont="1" applyFill="1" applyBorder="1" applyAlignment="1">
      <alignment horizontal="center" vertical="center" wrapText="1"/>
    </xf>
    <xf numFmtId="173" fontId="22" fillId="37" borderId="25" xfId="0" applyNumberFormat="1" applyFont="1" applyFill="1" applyBorder="1" applyAlignment="1">
      <alignment horizontal="center" vertical="center" wrapText="1"/>
    </xf>
    <xf numFmtId="173" fontId="23" fillId="36" borderId="25" xfId="0" applyNumberFormat="1" applyFont="1" applyFill="1" applyBorder="1" applyAlignment="1">
      <alignment horizontal="center" vertical="center" wrapText="1"/>
    </xf>
    <xf numFmtId="173" fontId="40" fillId="0" borderId="25" xfId="0" applyNumberFormat="1" applyFont="1" applyFill="1" applyBorder="1" applyAlignment="1">
      <alignment horizontal="center" vertical="center" wrapText="1"/>
    </xf>
    <xf numFmtId="173" fontId="20" fillId="0" borderId="25" xfId="0" applyNumberFormat="1" applyFont="1" applyFill="1" applyBorder="1" applyAlignment="1">
      <alignment horizontal="center" vertical="center" wrapText="1"/>
    </xf>
    <xf numFmtId="173" fontId="38" fillId="0" borderId="25" xfId="0" applyNumberFormat="1" applyFont="1" applyFill="1" applyBorder="1" applyAlignment="1">
      <alignment horizontal="center" vertical="center" wrapText="1"/>
    </xf>
    <xf numFmtId="173" fontId="52" fillId="0" borderId="25" xfId="0" applyNumberFormat="1" applyFont="1" applyFill="1" applyBorder="1" applyAlignment="1">
      <alignment horizontal="center" vertical="center" wrapText="1"/>
    </xf>
    <xf numFmtId="173" fontId="20" fillId="0" borderId="25" xfId="0" applyNumberFormat="1" applyFont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173" fontId="38" fillId="0" borderId="25" xfId="0" applyNumberFormat="1" applyFont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44" fillId="0" borderId="25" xfId="0" applyNumberFormat="1" applyFont="1" applyFill="1" applyBorder="1" applyAlignment="1">
      <alignment horizontal="center" vertical="center" wrapText="1"/>
    </xf>
    <xf numFmtId="173" fontId="50" fillId="0" borderId="25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51" fillId="0" borderId="14" xfId="0" applyNumberFormat="1" applyFont="1" applyBorder="1" applyAlignment="1">
      <alignment horizontal="center" vertical="center" wrapText="1"/>
    </xf>
    <xf numFmtId="173" fontId="51" fillId="0" borderId="28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center" vertical="center"/>
    </xf>
    <xf numFmtId="173" fontId="28" fillId="0" borderId="14" xfId="0" applyNumberFormat="1" applyFont="1" applyBorder="1" applyAlignment="1">
      <alignment horizontal="center" vertical="center"/>
    </xf>
    <xf numFmtId="173" fontId="35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1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5" fillId="37" borderId="14" xfId="0" applyNumberFormat="1" applyFont="1" applyFill="1" applyBorder="1" applyAlignment="1">
      <alignment horizontal="center" vertical="center"/>
    </xf>
    <xf numFmtId="173" fontId="23" fillId="36" borderId="14" xfId="0" applyNumberFormat="1" applyFont="1" applyFill="1" applyBorder="1" applyAlignment="1">
      <alignment horizontal="center" vertical="center" wrapText="1"/>
    </xf>
    <xf numFmtId="173" fontId="40" fillId="0" borderId="14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 wrapText="1"/>
    </xf>
    <xf numFmtId="173" fontId="37" fillId="0" borderId="14" xfId="0" applyNumberFormat="1" applyFont="1" applyFill="1" applyBorder="1" applyAlignment="1">
      <alignment horizontal="center" vertical="center"/>
    </xf>
    <xf numFmtId="173" fontId="38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/>
    </xf>
    <xf numFmtId="173" fontId="40" fillId="0" borderId="14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3" fillId="0" borderId="14" xfId="0" applyNumberFormat="1" applyFont="1" applyFill="1" applyBorder="1" applyAlignment="1">
      <alignment horizontal="center" vertical="center" wrapText="1"/>
    </xf>
    <xf numFmtId="173" fontId="44" fillId="0" borderId="14" xfId="0" applyNumberFormat="1" applyFont="1" applyFill="1" applyBorder="1" applyAlignment="1">
      <alignment horizontal="center" vertical="center" wrapText="1"/>
    </xf>
    <xf numFmtId="173" fontId="44" fillId="0" borderId="14" xfId="0" applyNumberFormat="1" applyFont="1" applyFill="1" applyBorder="1" applyAlignment="1">
      <alignment horizontal="center" vertical="center" wrapText="1"/>
    </xf>
    <xf numFmtId="173" fontId="37" fillId="0" borderId="18" xfId="0" applyNumberFormat="1" applyFont="1" applyBorder="1" applyAlignment="1">
      <alignment horizontal="center" vertical="center"/>
    </xf>
    <xf numFmtId="173" fontId="37" fillId="0" borderId="74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top" wrapText="1"/>
    </xf>
    <xf numFmtId="173" fontId="52" fillId="0" borderId="25" xfId="0" applyNumberFormat="1" applyFont="1" applyBorder="1" applyAlignment="1">
      <alignment horizontal="center" vertical="center" wrapText="1"/>
    </xf>
    <xf numFmtId="173" fontId="26" fillId="0" borderId="14" xfId="0" applyNumberFormat="1" applyFont="1" applyBorder="1" applyAlignment="1">
      <alignment horizontal="center" vertical="center"/>
    </xf>
    <xf numFmtId="173" fontId="26" fillId="0" borderId="18" xfId="0" applyNumberFormat="1" applyFont="1" applyBorder="1" applyAlignment="1">
      <alignment horizontal="center" vertical="center"/>
    </xf>
    <xf numFmtId="173" fontId="26" fillId="0" borderId="74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top" wrapText="1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1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0" xfId="0" applyFont="1" applyFill="1" applyBorder="1" applyAlignment="1">
      <alignment horizontal="left" vertical="center" wrapText="1"/>
    </xf>
    <xf numFmtId="49" fontId="6" fillId="46" borderId="28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3" fillId="46" borderId="18" xfId="0" applyNumberFormat="1" applyFont="1" applyFill="1" applyBorder="1" applyAlignment="1">
      <alignment horizontal="center" vertical="center" wrapText="1"/>
    </xf>
    <xf numFmtId="175" fontId="1" fillId="46" borderId="14" xfId="0" applyNumberFormat="1" applyFont="1" applyFill="1" applyBorder="1" applyAlignment="1">
      <alignment horizontal="center" vertical="center"/>
    </xf>
    <xf numFmtId="0" fontId="1" fillId="48" borderId="1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63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11" fillId="39" borderId="79" xfId="0" applyNumberFormat="1" applyFont="1" applyFill="1" applyBorder="1" applyAlignment="1">
      <alignment horizontal="center" vertical="center" wrapText="1"/>
    </xf>
    <xf numFmtId="49" fontId="6" fillId="33" borderId="79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6" fillId="43" borderId="17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28" fillId="0" borderId="79" xfId="0" applyNumberFormat="1" applyFont="1" applyFill="1" applyBorder="1" applyAlignment="1">
      <alignment horizontal="center" vertical="center" wrapText="1"/>
    </xf>
    <xf numFmtId="49" fontId="27" fillId="0" borderId="79" xfId="0" applyNumberFormat="1" applyFont="1" applyFill="1" applyBorder="1" applyAlignment="1">
      <alignment horizontal="center" vertical="center" wrapText="1"/>
    </xf>
    <xf numFmtId="49" fontId="9" fillId="33" borderId="79" xfId="0" applyNumberFormat="1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center" vertical="center" wrapText="1"/>
    </xf>
    <xf numFmtId="49" fontId="47" fillId="43" borderId="17" xfId="0" applyNumberFormat="1" applyFont="1" applyFill="1" applyBorder="1" applyAlignment="1">
      <alignment horizontal="center" vertical="center" wrapText="1"/>
    </xf>
    <xf numFmtId="49" fontId="7" fillId="46" borderId="32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0" fillId="0" borderId="86" xfId="0" applyBorder="1" applyAlignment="1">
      <alignment/>
    </xf>
    <xf numFmtId="173" fontId="44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5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63" xfId="0" applyNumberFormat="1" applyFont="1" applyFill="1" applyBorder="1" applyAlignment="1">
      <alignment horizontal="center" vertical="center"/>
    </xf>
    <xf numFmtId="49" fontId="29" fillId="46" borderId="79" xfId="0" applyNumberFormat="1" applyFont="1" applyFill="1" applyBorder="1" applyAlignment="1">
      <alignment horizontal="center" vertical="center" wrapText="1"/>
    </xf>
    <xf numFmtId="49" fontId="26" fillId="0" borderId="79" xfId="0" applyNumberFormat="1" applyFont="1" applyFill="1" applyBorder="1" applyAlignment="1">
      <alignment horizontal="center" vertical="center"/>
    </xf>
    <xf numFmtId="175" fontId="1" fillId="46" borderId="36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3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9" fillId="0" borderId="75" xfId="0" applyNumberFormat="1" applyFont="1" applyBorder="1" applyAlignment="1" applyProtection="1">
      <alignment horizontal="center" vertical="center" wrapText="1"/>
      <protection locked="0"/>
    </xf>
    <xf numFmtId="0" fontId="1" fillId="40" borderId="73" xfId="0" applyNumberFormat="1" applyFont="1" applyFill="1" applyBorder="1" applyAlignment="1" applyProtection="1">
      <alignment horizontal="center" vertical="center" wrapText="1"/>
      <protection locked="0"/>
    </xf>
    <xf numFmtId="0" fontId="119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49" fontId="1" fillId="40" borderId="2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173" fontId="17" fillId="34" borderId="25" xfId="0" applyNumberFormat="1" applyFont="1" applyFill="1" applyBorder="1" applyAlignment="1">
      <alignment horizontal="center" vertical="center" wrapText="1"/>
    </xf>
    <xf numFmtId="173" fontId="4" fillId="34" borderId="14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28" xfId="0" applyNumberFormat="1" applyFont="1" applyFill="1" applyBorder="1" applyAlignment="1">
      <alignment horizontal="center" vertical="center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NumberFormat="1" applyFont="1" applyAlignment="1" applyProtection="1">
      <alignment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left" wrapText="1" readingOrder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9" xfId="0" applyNumberFormat="1" applyFont="1" applyFill="1" applyBorder="1" applyAlignment="1" applyProtection="1">
      <alignment horizontal="center" vertical="center"/>
      <protection locked="0"/>
    </xf>
    <xf numFmtId="0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7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48" fillId="0" borderId="23" xfId="0" applyNumberFormat="1" applyFont="1" applyFill="1" applyBorder="1" applyAlignment="1" applyProtection="1">
      <alignment horizontal="center" vertical="center"/>
      <protection locked="0"/>
    </xf>
    <xf numFmtId="175" fontId="7" fillId="0" borderId="65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45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9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56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56" xfId="0" applyNumberFormat="1" applyFont="1" applyFill="1" applyBorder="1" applyAlignment="1" applyProtection="1">
      <alignment horizontal="center" vertical="center"/>
      <protection locked="0"/>
    </xf>
    <xf numFmtId="175" fontId="7" fillId="0" borderId="65" xfId="0" applyNumberFormat="1" applyFont="1" applyFill="1" applyBorder="1" applyAlignment="1" applyProtection="1">
      <alignment horizontal="center" vertical="center"/>
      <protection locked="0"/>
    </xf>
    <xf numFmtId="175" fontId="1" fillId="49" borderId="22" xfId="0" applyNumberFormat="1" applyFont="1" applyFill="1" applyBorder="1" applyAlignment="1" applyProtection="1">
      <alignment horizontal="center" vertical="center"/>
      <protection locked="0"/>
    </xf>
    <xf numFmtId="175" fontId="1" fillId="35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33" borderId="64" xfId="0" applyNumberFormat="1" applyFont="1" applyFill="1" applyBorder="1" applyAlignment="1">
      <alignment wrapText="1" readingOrder="1"/>
    </xf>
    <xf numFmtId="0" fontId="2" fillId="0" borderId="79" xfId="0" applyNumberFormat="1" applyFont="1" applyFill="1" applyBorder="1" applyAlignment="1" applyProtection="1">
      <alignment wrapText="1" readingOrder="1"/>
      <protection locked="0"/>
    </xf>
    <xf numFmtId="0" fontId="8" fillId="0" borderId="79" xfId="0" applyNumberFormat="1" applyFont="1" applyFill="1" applyBorder="1" applyAlignment="1" applyProtection="1">
      <alignment wrapText="1" readingOrder="1"/>
      <protection locked="0"/>
    </xf>
    <xf numFmtId="0" fontId="9" fillId="0" borderId="79" xfId="0" applyNumberFormat="1" applyFont="1" applyFill="1" applyBorder="1" applyAlignment="1" applyProtection="1">
      <alignment wrapText="1" readingOrder="1"/>
      <protection locked="0"/>
    </xf>
    <xf numFmtId="0" fontId="1" fillId="0" borderId="79" xfId="0" applyNumberFormat="1" applyFont="1" applyFill="1" applyBorder="1" applyAlignment="1" applyProtection="1">
      <alignment wrapText="1" readingOrder="1"/>
      <protection locked="0"/>
    </xf>
    <xf numFmtId="0" fontId="2" fillId="0" borderId="79" xfId="0" applyNumberFormat="1" applyFont="1" applyBorder="1" applyAlignment="1" applyProtection="1">
      <alignment vertical="center" wrapText="1"/>
      <protection locked="0"/>
    </xf>
    <xf numFmtId="0" fontId="2" fillId="0" borderId="79" xfId="0" applyNumberFormat="1" applyFont="1" applyBorder="1" applyAlignment="1" applyProtection="1">
      <alignment vertical="center" wrapText="1"/>
      <protection locked="0"/>
    </xf>
    <xf numFmtId="0" fontId="2" fillId="0" borderId="25" xfId="0" applyNumberFormat="1" applyFont="1" applyBorder="1" applyAlignment="1" applyProtection="1">
      <alignment vertical="center" wrapText="1"/>
      <protection locked="0"/>
    </xf>
    <xf numFmtId="0" fontId="10" fillId="0" borderId="79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10" fillId="0" borderId="79" xfId="0" applyNumberFormat="1" applyFont="1" applyFill="1" applyBorder="1" applyAlignment="1" applyProtection="1">
      <alignment wrapText="1" readingOrder="1"/>
      <protection locked="0"/>
    </xf>
    <xf numFmtId="0" fontId="8" fillId="0" borderId="79" xfId="0" applyNumberFormat="1" applyFont="1" applyFill="1" applyBorder="1" applyAlignment="1" applyProtection="1">
      <alignment wrapText="1" readingOrder="1"/>
      <protection locked="0"/>
    </xf>
    <xf numFmtId="0" fontId="7" fillId="0" borderId="79" xfId="0" applyNumberFormat="1" applyFont="1" applyBorder="1" applyAlignment="1" applyProtection="1">
      <alignment vertical="center" wrapText="1"/>
      <protection locked="0"/>
    </xf>
    <xf numFmtId="0" fontId="2" fillId="0" borderId="25" xfId="0" applyNumberFormat="1" applyFont="1" applyBorder="1" applyAlignment="1" applyProtection="1">
      <alignment vertical="center" wrapText="1"/>
      <protection locked="0"/>
    </xf>
    <xf numFmtId="0" fontId="1" fillId="49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79" xfId="0" applyNumberFormat="1" applyFont="1" applyFill="1" applyBorder="1" applyAlignment="1" applyProtection="1">
      <alignment horizontal="left" wrapText="1" readingOrder="1"/>
      <protection locked="0"/>
    </xf>
    <xf numFmtId="0" fontId="7" fillId="0" borderId="64" xfId="0" applyNumberFormat="1" applyFont="1" applyBorder="1" applyAlignment="1" applyProtection="1">
      <alignment vertical="center" wrapText="1"/>
      <protection locked="0"/>
    </xf>
    <xf numFmtId="0" fontId="7" fillId="0" borderId="64" xfId="0" applyNumberFormat="1" applyFont="1" applyFill="1" applyBorder="1" applyAlignment="1" applyProtection="1">
      <alignment wrapText="1" readingOrder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6" fillId="33" borderId="6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42" fillId="0" borderId="27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78" xfId="0" applyNumberFormat="1" applyFont="1" applyFill="1" applyBorder="1" applyAlignment="1" applyProtection="1">
      <alignment horizontal="center" vertical="center"/>
      <protection locked="0"/>
    </xf>
    <xf numFmtId="0" fontId="2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49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/>
      <protection locked="0"/>
    </xf>
    <xf numFmtId="0" fontId="7" fillId="4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56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23" xfId="0" applyNumberFormat="1" applyFont="1" applyFill="1" applyBorder="1" applyAlignment="1" applyProtection="1">
      <alignment horizontal="center" vertical="center"/>
      <protection locked="0"/>
    </xf>
    <xf numFmtId="0" fontId="2" fillId="45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8" fillId="0" borderId="6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49" borderId="63" xfId="0" applyNumberFormat="1" applyFont="1" applyFill="1" applyBorder="1" applyAlignment="1" applyProtection="1">
      <alignment horizontal="center" vertical="center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0" fontId="2" fillId="45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49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175" fontId="13" fillId="0" borderId="25" xfId="0" applyNumberFormat="1" applyFont="1" applyBorder="1" applyAlignment="1" applyProtection="1">
      <alignment horizontal="center"/>
      <protection locked="0"/>
    </xf>
    <xf numFmtId="175" fontId="18" fillId="0" borderId="25" xfId="0" applyNumberFormat="1" applyFont="1" applyBorder="1" applyAlignment="1" applyProtection="1">
      <alignment horizontal="center"/>
      <protection locked="0"/>
    </xf>
    <xf numFmtId="49" fontId="13" fillId="0" borderId="52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175" fontId="13" fillId="0" borderId="24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53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left" wrapText="1" readingOrder="1"/>
      <protection locked="0"/>
    </xf>
    <xf numFmtId="0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175" fontId="2" fillId="0" borderId="78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NumberFormat="1" applyFont="1" applyFill="1" applyBorder="1" applyAlignment="1" applyProtection="1">
      <alignment wrapText="1" readingOrder="1"/>
      <protection locked="0"/>
    </xf>
    <xf numFmtId="0" fontId="7" fillId="0" borderId="25" xfId="0" applyNumberFormat="1" applyFont="1" applyFill="1" applyBorder="1" applyAlignment="1" applyProtection="1">
      <alignment wrapText="1" readingOrder="1"/>
      <protection locked="0"/>
    </xf>
    <xf numFmtId="0" fontId="2" fillId="45" borderId="25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4" xfId="0" applyNumberFormat="1" applyFont="1" applyFill="1" applyBorder="1" applyAlignment="1" applyProtection="1">
      <alignment wrapText="1" readingOrder="1"/>
      <protection locked="0"/>
    </xf>
    <xf numFmtId="0" fontId="2" fillId="45" borderId="25" xfId="0" applyNumberFormat="1" applyFont="1" applyFill="1" applyBorder="1" applyAlignment="1" applyProtection="1">
      <alignment vertical="center" wrapText="1"/>
      <protection locked="0"/>
    </xf>
    <xf numFmtId="0" fontId="57" fillId="0" borderId="49" xfId="0" applyNumberFormat="1" applyFont="1" applyBorder="1" applyAlignment="1" applyProtection="1">
      <alignment wrapText="1"/>
      <protection locked="0"/>
    </xf>
    <xf numFmtId="0" fontId="2" fillId="35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5" xfId="0" applyNumberFormat="1" applyFont="1" applyFill="1" applyBorder="1" applyAlignment="1" applyProtection="1">
      <alignment horizontal="left" wrapText="1" readingOrder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53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53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49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49" borderId="26" xfId="0" applyNumberFormat="1" applyFont="1" applyFill="1" applyBorder="1" applyAlignment="1" applyProtection="1">
      <alignment vertical="center" wrapText="1"/>
      <protection locked="0"/>
    </xf>
    <xf numFmtId="0" fontId="2" fillId="45" borderId="24" xfId="0" applyNumberFormat="1" applyFont="1" applyFill="1" applyBorder="1" applyAlignment="1" applyProtection="1">
      <alignment vertical="center" wrapText="1"/>
      <protection locked="0"/>
    </xf>
    <xf numFmtId="0" fontId="7" fillId="0" borderId="87" xfId="0" applyNumberFormat="1" applyFont="1" applyBorder="1" applyAlignment="1" applyProtection="1">
      <alignment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173" fontId="14" fillId="0" borderId="22" xfId="0" applyNumberFormat="1" applyFont="1" applyBorder="1" applyAlignment="1" applyProtection="1">
      <alignment horizontal="center"/>
      <protection locked="0"/>
    </xf>
    <xf numFmtId="173" fontId="14" fillId="0" borderId="44" xfId="0" applyNumberFormat="1" applyFont="1" applyBorder="1" applyAlignment="1" applyProtection="1">
      <alignment horizontal="center"/>
      <protection locked="0"/>
    </xf>
    <xf numFmtId="173" fontId="13" fillId="0" borderId="56" xfId="0" applyNumberFormat="1" applyFont="1" applyBorder="1" applyAlignment="1">
      <alignment horizontal="center"/>
    </xf>
    <xf numFmtId="173" fontId="13" fillId="0" borderId="84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4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4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4" xfId="0" applyNumberFormat="1" applyFont="1" applyBorder="1" applyAlignment="1">
      <alignment horizontal="center"/>
    </xf>
    <xf numFmtId="173" fontId="12" fillId="0" borderId="65" xfId="0" applyNumberFormat="1" applyFont="1" applyBorder="1" applyAlignment="1">
      <alignment horizontal="center"/>
    </xf>
    <xf numFmtId="173" fontId="12" fillId="0" borderId="85" xfId="0" applyNumberFormat="1" applyFont="1" applyBorder="1" applyAlignment="1">
      <alignment horizontal="center"/>
    </xf>
    <xf numFmtId="173" fontId="13" fillId="0" borderId="36" xfId="0" applyNumberFormat="1" applyFont="1" applyBorder="1" applyAlignment="1">
      <alignment horizontal="center"/>
    </xf>
    <xf numFmtId="173" fontId="13" fillId="0" borderId="7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4" xfId="0" applyNumberFormat="1" applyFont="1" applyBorder="1" applyAlignment="1">
      <alignment horizontal="center"/>
    </xf>
    <xf numFmtId="173" fontId="2" fillId="0" borderId="78" xfId="0" applyNumberFormat="1" applyFont="1" applyBorder="1" applyAlignment="1" applyProtection="1">
      <alignment horizontal="center"/>
      <protection locked="0"/>
    </xf>
    <xf numFmtId="173" fontId="2" fillId="0" borderId="86" xfId="0" applyNumberFormat="1" applyFont="1" applyBorder="1" applyAlignment="1" applyProtection="1">
      <alignment horizontal="center"/>
      <protection locked="0"/>
    </xf>
    <xf numFmtId="173" fontId="2" fillId="49" borderId="22" xfId="0" applyNumberFormat="1" applyFont="1" applyFill="1" applyBorder="1" applyAlignment="1" applyProtection="1">
      <alignment horizontal="center" vertical="center"/>
      <protection locked="0"/>
    </xf>
    <xf numFmtId="173" fontId="2" fillId="49" borderId="44" xfId="0" applyNumberFormat="1" applyFont="1" applyFill="1" applyBorder="1" applyAlignment="1" applyProtection="1">
      <alignment horizontal="center" vertical="center"/>
      <protection locked="0"/>
    </xf>
    <xf numFmtId="173" fontId="2" fillId="45" borderId="56" xfId="0" applyNumberFormat="1" applyFont="1" applyFill="1" applyBorder="1" applyAlignment="1" applyProtection="1">
      <alignment horizontal="center" vertical="center"/>
      <protection locked="0"/>
    </xf>
    <xf numFmtId="173" fontId="2" fillId="45" borderId="84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4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4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4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4" xfId="0" applyNumberFormat="1" applyBorder="1" applyAlignment="1">
      <alignment/>
    </xf>
    <xf numFmtId="173" fontId="2" fillId="0" borderId="22" xfId="0" applyNumberFormat="1" applyFont="1" applyFill="1" applyBorder="1" applyAlignment="1" applyProtection="1">
      <alignment horizontal="center" vertical="center"/>
      <protection locked="0"/>
    </xf>
    <xf numFmtId="173" fontId="2" fillId="0" borderId="44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4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4" xfId="0" applyNumberFormat="1" applyFont="1" applyFill="1" applyBorder="1" applyAlignment="1" applyProtection="1">
      <alignment horizontal="center" vertical="center"/>
      <protection locked="0"/>
    </xf>
    <xf numFmtId="173" fontId="2" fillId="0" borderId="65" xfId="0" applyNumberFormat="1" applyFont="1" applyFill="1" applyBorder="1" applyAlignment="1" applyProtection="1">
      <alignment horizontal="center" vertical="center"/>
      <protection locked="0"/>
    </xf>
    <xf numFmtId="173" fontId="2" fillId="0" borderId="85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0" borderId="56" xfId="0" applyNumberFormat="1" applyFont="1" applyFill="1" applyBorder="1" applyAlignment="1" applyProtection="1">
      <alignment horizontal="center" vertical="center"/>
      <protection locked="0"/>
    </xf>
    <xf numFmtId="173" fontId="2" fillId="0" borderId="84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4" xfId="0" applyNumberFormat="1" applyFont="1" applyFill="1" applyBorder="1" applyAlignment="1" applyProtection="1">
      <alignment horizontal="center" vertical="center"/>
      <protection locked="0"/>
    </xf>
    <xf numFmtId="173" fontId="2" fillId="49" borderId="55" xfId="0" applyNumberFormat="1" applyFont="1" applyFill="1" applyBorder="1" applyAlignment="1" applyProtection="1">
      <alignment horizontal="center" vertical="center"/>
      <protection locked="0"/>
    </xf>
    <xf numFmtId="173" fontId="2" fillId="49" borderId="59" xfId="0" applyNumberFormat="1" applyFont="1" applyFill="1" applyBorder="1" applyAlignment="1" applyProtection="1">
      <alignment horizontal="center" vertical="center"/>
      <protection locked="0"/>
    </xf>
    <xf numFmtId="173" fontId="2" fillId="45" borderId="36" xfId="0" applyNumberFormat="1" applyFont="1" applyFill="1" applyBorder="1" applyAlignment="1" applyProtection="1">
      <alignment horizontal="center" vertical="center"/>
      <protection locked="0"/>
    </xf>
    <xf numFmtId="173" fontId="2" fillId="45" borderId="7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4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45" borderId="56" xfId="0" applyNumberFormat="1" applyFont="1" applyFill="1" applyBorder="1" applyAlignment="1" applyProtection="1">
      <alignment horizontal="center" vertical="center"/>
      <protection locked="0"/>
    </xf>
    <xf numFmtId="173" fontId="2" fillId="45" borderId="84" xfId="0" applyNumberFormat="1" applyFont="1" applyFill="1" applyBorder="1" applyAlignment="1" applyProtection="1">
      <alignment horizontal="center" vertical="center"/>
      <protection locked="0"/>
    </xf>
    <xf numFmtId="173" fontId="7" fillId="0" borderId="37" xfId="0" applyNumberFormat="1" applyFont="1" applyBorder="1" applyAlignment="1">
      <alignment horizontal="center" vertical="center"/>
    </xf>
    <xf numFmtId="173" fontId="7" fillId="0" borderId="76" xfId="0" applyNumberFormat="1" applyFont="1" applyBorder="1" applyAlignment="1">
      <alignment horizontal="center" vertical="center"/>
    </xf>
    <xf numFmtId="173" fontId="16" fillId="0" borderId="22" xfId="0" applyNumberFormat="1" applyFont="1" applyBorder="1" applyAlignment="1">
      <alignment horizontal="center"/>
    </xf>
    <xf numFmtId="173" fontId="16" fillId="0" borderId="44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173" fontId="18" fillId="0" borderId="84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4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49" fontId="14" fillId="0" borderId="48" xfId="0" applyNumberFormat="1" applyFont="1" applyBorder="1" applyAlignment="1">
      <alignment horizontal="left"/>
    </xf>
    <xf numFmtId="0" fontId="13" fillId="0" borderId="32" xfId="0" applyFont="1" applyBorder="1" applyAlignment="1">
      <alignment horizontal="left" vertical="top" wrapText="1"/>
    </xf>
    <xf numFmtId="0" fontId="13" fillId="0" borderId="79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left" vertical="top" wrapText="1"/>
    </xf>
    <xf numFmtId="0" fontId="12" fillId="0" borderId="79" xfId="0" applyFont="1" applyBorder="1" applyAlignment="1">
      <alignment vertical="top" wrapText="1"/>
    </xf>
    <xf numFmtId="0" fontId="12" fillId="0" borderId="64" xfId="0" applyFont="1" applyBorder="1" applyAlignment="1">
      <alignment vertical="top" wrapText="1"/>
    </xf>
    <xf numFmtId="0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79" xfId="0" applyFont="1" applyBorder="1" applyAlignment="1">
      <alignment horizontal="left" vertical="top" wrapText="1"/>
    </xf>
    <xf numFmtId="0" fontId="14" fillId="0" borderId="79" xfId="0" applyFont="1" applyFill="1" applyBorder="1" applyAlignment="1">
      <alignment horizontal="left" vertical="top" wrapText="1"/>
    </xf>
    <xf numFmtId="0" fontId="33" fillId="0" borderId="79" xfId="0" applyFont="1" applyBorder="1" applyAlignment="1">
      <alignment horizontal="left"/>
    </xf>
    <xf numFmtId="0" fontId="33" fillId="0" borderId="66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/>
    </xf>
    <xf numFmtId="0" fontId="2" fillId="0" borderId="83" xfId="0" applyNumberFormat="1" applyFont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4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9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35" borderId="73" xfId="0" applyNumberFormat="1" applyFont="1" applyFill="1" applyBorder="1" applyAlignment="1" applyProtection="1">
      <alignment horizontal="center" vertical="center"/>
      <protection locked="0"/>
    </xf>
    <xf numFmtId="0" fontId="7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/>
      <protection locked="0"/>
    </xf>
    <xf numFmtId="0" fontId="2" fillId="45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7" xfId="0" applyNumberFormat="1" applyFont="1" applyFill="1" applyBorder="1" applyAlignment="1" applyProtection="1">
      <alignment horizontal="center" vertical="center"/>
      <protection locked="0"/>
    </xf>
    <xf numFmtId="175" fontId="2" fillId="45" borderId="32" xfId="0" applyNumberFormat="1" applyFont="1" applyFill="1" applyBorder="1" applyAlignment="1" applyProtection="1">
      <alignment horizontal="center" vertical="center"/>
      <protection locked="0"/>
    </xf>
    <xf numFmtId="175" fontId="2" fillId="0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79" xfId="0" applyNumberFormat="1" applyFont="1" applyFill="1" applyBorder="1" applyAlignment="1" applyProtection="1">
      <alignment horizontal="center" vertical="center"/>
      <protection locked="0"/>
    </xf>
    <xf numFmtId="175" fontId="2" fillId="45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64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0" borderId="79" xfId="0" applyNumberFormat="1" applyFont="1" applyFill="1" applyBorder="1" applyAlignment="1" applyProtection="1">
      <alignment horizontal="center" vertical="center"/>
      <protection locked="0"/>
    </xf>
    <xf numFmtId="175" fontId="2" fillId="0" borderId="64" xfId="0" applyNumberFormat="1" applyFont="1" applyFill="1" applyBorder="1" applyAlignment="1" applyProtection="1">
      <alignment horizontal="center" vertical="center"/>
      <protection locked="0"/>
    </xf>
    <xf numFmtId="175" fontId="2" fillId="49" borderId="51" xfId="0" applyNumberFormat="1" applyFont="1" applyFill="1" applyBorder="1" applyAlignment="1" applyProtection="1">
      <alignment horizontal="center" vertical="center"/>
      <protection locked="0"/>
    </xf>
    <xf numFmtId="175" fontId="2" fillId="0" borderId="32" xfId="0" applyNumberFormat="1" applyFont="1" applyFill="1" applyBorder="1" applyAlignment="1" applyProtection="1">
      <alignment horizontal="center" vertical="center"/>
      <protection locked="0"/>
    </xf>
    <xf numFmtId="175" fontId="7" fillId="0" borderId="64" xfId="0" applyNumberFormat="1" applyFont="1" applyFill="1" applyBorder="1" applyAlignment="1" applyProtection="1">
      <alignment horizontal="center" vertical="center"/>
      <protection locked="0"/>
    </xf>
    <xf numFmtId="175" fontId="2" fillId="35" borderId="79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43" borderId="32" xfId="0" applyNumberFormat="1" applyFont="1" applyFill="1" applyBorder="1" applyAlignment="1" applyProtection="1">
      <alignment horizontal="center" vertical="center"/>
      <protection locked="0"/>
    </xf>
    <xf numFmtId="175" fontId="2" fillId="49" borderId="48" xfId="0" applyNumberFormat="1" applyFont="1" applyFill="1" applyBorder="1" applyAlignment="1" applyProtection="1">
      <alignment horizontal="center" vertical="center"/>
      <protection locked="0"/>
    </xf>
    <xf numFmtId="175" fontId="2" fillId="45" borderId="80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9" borderId="51" xfId="0" applyNumberFormat="1" applyFont="1" applyFill="1" applyBorder="1" applyAlignment="1" applyProtection="1">
      <alignment horizontal="center" vertical="center"/>
      <protection locked="0"/>
    </xf>
    <xf numFmtId="175" fontId="2" fillId="45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>
      <alignment horizontal="center" vertical="center" wrapText="1"/>
    </xf>
    <xf numFmtId="173" fontId="1" fillId="40" borderId="79" xfId="0" applyNumberFormat="1" applyFont="1" applyFill="1" applyBorder="1" applyAlignment="1">
      <alignment horizontal="center" vertical="center" wrapText="1"/>
    </xf>
    <xf numFmtId="173" fontId="9" fillId="0" borderId="74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7" fillId="0" borderId="49" xfId="0" applyFont="1" applyBorder="1" applyAlignment="1" applyProtection="1">
      <alignment wrapText="1"/>
      <protection locked="0"/>
    </xf>
    <xf numFmtId="49" fontId="2" fillId="50" borderId="25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4" xfId="0" applyFont="1" applyBorder="1" applyAlignment="1">
      <alignment vertical="center" wrapText="1"/>
    </xf>
    <xf numFmtId="0" fontId="10" fillId="50" borderId="11" xfId="0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83" xfId="0" applyFont="1" applyBorder="1" applyAlignment="1">
      <alignment horizontal="center" vertical="center" wrapText="1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 wrapText="1"/>
    </xf>
    <xf numFmtId="173" fontId="26" fillId="0" borderId="79" xfId="0" applyNumberFormat="1" applyFont="1" applyBorder="1" applyAlignment="1">
      <alignment horizontal="center" vertical="center" wrapText="1"/>
    </xf>
    <xf numFmtId="173" fontId="0" fillId="0" borderId="79" xfId="0" applyNumberFormat="1" applyFont="1" applyBorder="1" applyAlignment="1">
      <alignment horizontal="center" vertical="center" wrapText="1"/>
    </xf>
    <xf numFmtId="0" fontId="120" fillId="40" borderId="56" xfId="0" applyFont="1" applyFill="1" applyBorder="1" applyAlignment="1">
      <alignment horizontal="center" vertical="center" wrapText="1"/>
    </xf>
    <xf numFmtId="0" fontId="120" fillId="40" borderId="80" xfId="0" applyFont="1" applyFill="1" applyBorder="1" applyAlignment="1">
      <alignment horizontal="center" vertical="center" wrapText="1"/>
    </xf>
    <xf numFmtId="0" fontId="120" fillId="40" borderId="36" xfId="0" applyFont="1" applyFill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173" fontId="121" fillId="0" borderId="79" xfId="0" applyNumberFormat="1" applyFont="1" applyBorder="1" applyAlignment="1">
      <alignment horizontal="center" vertical="center" wrapText="1"/>
    </xf>
    <xf numFmtId="173" fontId="122" fillId="0" borderId="10" xfId="0" applyNumberFormat="1" applyFont="1" applyBorder="1" applyAlignment="1">
      <alignment horizontal="center" vertical="center" wrapText="1"/>
    </xf>
    <xf numFmtId="0" fontId="122" fillId="0" borderId="79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173" fontId="122" fillId="0" borderId="79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5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 wrapText="1"/>
    </xf>
    <xf numFmtId="173" fontId="9" fillId="0" borderId="47" xfId="0" applyNumberFormat="1" applyFont="1" applyBorder="1" applyAlignment="1">
      <alignment horizontal="center" vertical="center" wrapText="1"/>
    </xf>
    <xf numFmtId="173" fontId="9" fillId="0" borderId="39" xfId="0" applyNumberFormat="1" applyFont="1" applyBorder="1" applyAlignment="1">
      <alignment horizontal="center" vertical="center" wrapText="1"/>
    </xf>
    <xf numFmtId="173" fontId="123" fillId="0" borderId="0" xfId="0" applyNumberFormat="1" applyFont="1" applyFill="1" applyBorder="1" applyAlignment="1">
      <alignment horizontal="center" vertical="center" wrapText="1"/>
    </xf>
    <xf numFmtId="0" fontId="1" fillId="50" borderId="30" xfId="0" applyFont="1" applyFill="1" applyBorder="1" applyAlignment="1">
      <alignment vertical="center" wrapText="1"/>
    </xf>
    <xf numFmtId="0" fontId="1" fillId="50" borderId="33" xfId="0" applyFont="1" applyFill="1" applyBorder="1" applyAlignment="1">
      <alignment horizontal="center" vertical="center" wrapText="1"/>
    </xf>
    <xf numFmtId="0" fontId="1" fillId="50" borderId="73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80" xfId="0" applyNumberFormat="1" applyFont="1" applyFill="1" applyBorder="1" applyAlignment="1">
      <alignment horizontal="center" vertical="center" wrapText="1"/>
    </xf>
    <xf numFmtId="173" fontId="1" fillId="40" borderId="77" xfId="0" applyNumberFormat="1" applyFont="1" applyFill="1" applyBorder="1" applyAlignment="1">
      <alignment horizontal="center" vertical="center" wrapText="1"/>
    </xf>
    <xf numFmtId="173" fontId="1" fillId="50" borderId="56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4" fillId="0" borderId="25" xfId="0" applyNumberFormat="1" applyFont="1" applyFill="1" applyBorder="1" applyAlignment="1">
      <alignment horizontal="center" vertical="center" wrapText="1"/>
    </xf>
    <xf numFmtId="173" fontId="34" fillId="0" borderId="14" xfId="0" applyNumberFormat="1" applyFont="1" applyFill="1" applyBorder="1" applyAlignment="1">
      <alignment horizontal="center" vertical="center" wrapText="1"/>
    </xf>
    <xf numFmtId="173" fontId="34" fillId="0" borderId="11" xfId="0" applyNumberFormat="1" applyFont="1" applyFill="1" applyBorder="1" applyAlignment="1">
      <alignment horizontal="center" vertical="center" wrapText="1"/>
    </xf>
    <xf numFmtId="173" fontId="34" fillId="0" borderId="28" xfId="0" applyNumberFormat="1" applyFont="1" applyFill="1" applyBorder="1" applyAlignment="1">
      <alignment horizontal="center" vertical="center" wrapText="1"/>
    </xf>
    <xf numFmtId="173" fontId="34" fillId="0" borderId="87" xfId="0" applyNumberFormat="1" applyFont="1" applyFill="1" applyBorder="1" applyAlignment="1">
      <alignment horizontal="center" vertical="center" wrapText="1"/>
    </xf>
    <xf numFmtId="173" fontId="34" fillId="0" borderId="38" xfId="0" applyNumberFormat="1" applyFont="1" applyFill="1" applyBorder="1" applyAlignment="1">
      <alignment horizontal="center" vertical="center" wrapText="1"/>
    </xf>
    <xf numFmtId="173" fontId="34" fillId="0" borderId="47" xfId="0" applyNumberFormat="1" applyFont="1" applyFill="1" applyBorder="1" applyAlignment="1">
      <alignment horizontal="center" vertical="center" wrapText="1"/>
    </xf>
    <xf numFmtId="173" fontId="34" fillId="0" borderId="39" xfId="0" applyNumberFormat="1" applyFont="1" applyFill="1" applyBorder="1" applyAlignment="1">
      <alignment horizontal="center" vertical="center" wrapText="1"/>
    </xf>
    <xf numFmtId="173" fontId="58" fillId="0" borderId="25" xfId="0" applyNumberFormat="1" applyFont="1" applyFill="1" applyBorder="1" applyAlignment="1">
      <alignment horizontal="center" vertical="center" wrapText="1"/>
    </xf>
    <xf numFmtId="173" fontId="58" fillId="0" borderId="14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 wrapText="1"/>
    </xf>
    <xf numFmtId="173" fontId="58" fillId="0" borderId="28" xfId="0" applyNumberFormat="1" applyFont="1" applyFill="1" applyBorder="1" applyAlignment="1">
      <alignment horizontal="center" vertical="center" wrapText="1"/>
    </xf>
    <xf numFmtId="173" fontId="59" fillId="0" borderId="25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2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2" xfId="0" applyNumberFormat="1" applyFont="1" applyFill="1" applyBorder="1" applyAlignment="1" applyProtection="1">
      <alignment horizontal="center" vertical="center"/>
      <protection locked="0"/>
    </xf>
    <xf numFmtId="49" fontId="4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63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24" xfId="0" applyNumberFormat="1" applyFont="1" applyFill="1" applyBorder="1" applyAlignment="1" applyProtection="1">
      <alignment vertical="center" wrapText="1"/>
      <protection locked="0"/>
    </xf>
    <xf numFmtId="0" fontId="2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87" xfId="0" applyNumberFormat="1" applyFont="1" applyFill="1" applyBorder="1" applyAlignment="1" applyProtection="1">
      <alignment vertical="center" wrapText="1"/>
      <protection locked="0"/>
    </xf>
    <xf numFmtId="0" fontId="7" fillId="5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0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3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4" xfId="0" applyNumberFormat="1" applyFont="1" applyFill="1" applyBorder="1" applyAlignment="1" applyProtection="1">
      <alignment vertical="center" wrapText="1"/>
      <protection locked="0"/>
    </xf>
    <xf numFmtId="0" fontId="27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20" xfId="0" applyNumberFormat="1" applyFont="1" applyFill="1" applyBorder="1" applyAlignment="1" applyProtection="1">
      <alignment horizontal="center" vertical="center"/>
      <protection locked="0"/>
    </xf>
    <xf numFmtId="175" fontId="10" fillId="50" borderId="56" xfId="0" applyNumberFormat="1" applyFont="1" applyFill="1" applyBorder="1" applyAlignment="1">
      <alignment horizontal="center"/>
    </xf>
    <xf numFmtId="175" fontId="16" fillId="50" borderId="13" xfId="0" applyNumberFormat="1" applyFont="1" applyFill="1" applyBorder="1" applyAlignment="1">
      <alignment horizontal="center"/>
    </xf>
    <xf numFmtId="2" fontId="18" fillId="50" borderId="24" xfId="0" applyNumberFormat="1" applyFont="1" applyFill="1" applyBorder="1" applyAlignment="1">
      <alignment horizontal="center"/>
    </xf>
    <xf numFmtId="0" fontId="18" fillId="50" borderId="25" xfId="0" applyFont="1" applyFill="1" applyBorder="1" applyAlignment="1">
      <alignment horizontal="center"/>
    </xf>
    <xf numFmtId="173" fontId="16" fillId="50" borderId="74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49" fontId="8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2" fillId="45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52" xfId="0" applyNumberFormat="1" applyFont="1" applyFill="1" applyBorder="1" applyAlignment="1" applyProtection="1">
      <alignment horizontal="center" vertical="center"/>
      <protection locked="0"/>
    </xf>
    <xf numFmtId="49" fontId="9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45" borderId="49" xfId="0" applyNumberFormat="1" applyFont="1" applyFill="1" applyBorder="1" applyAlignment="1" applyProtection="1">
      <alignment horizontal="center" vertical="center"/>
      <protection locked="0"/>
    </xf>
    <xf numFmtId="0" fontId="2" fillId="50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7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30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33" xfId="0" applyNumberFormat="1" applyFont="1" applyFill="1" applyBorder="1" applyAlignment="1">
      <alignment horizontal="center" vertical="center"/>
    </xf>
    <xf numFmtId="0" fontId="27" fillId="50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73" xfId="0" applyNumberFormat="1" applyFont="1" applyFill="1" applyBorder="1" applyAlignment="1">
      <alignment horizontal="center" vertical="center"/>
    </xf>
    <xf numFmtId="0" fontId="3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24" xfId="0" applyNumberFormat="1" applyFont="1" applyFill="1" applyBorder="1" applyAlignment="1">
      <alignment horizontal="center"/>
    </xf>
    <xf numFmtId="175" fontId="10" fillId="50" borderId="24" xfId="0" applyNumberFormat="1" applyFont="1" applyFill="1" applyBorder="1" applyAlignment="1" applyProtection="1">
      <alignment horizontal="center" vertical="center"/>
      <protection locked="0"/>
    </xf>
    <xf numFmtId="175" fontId="27" fillId="50" borderId="25" xfId="0" applyNumberFormat="1" applyFont="1" applyFill="1" applyBorder="1" applyAlignment="1" applyProtection="1">
      <alignment horizontal="center" vertical="center"/>
      <protection locked="0"/>
    </xf>
    <xf numFmtId="175" fontId="2" fillId="50" borderId="25" xfId="0" applyNumberFormat="1" applyFont="1" applyFill="1" applyBorder="1" applyAlignment="1" applyProtection="1">
      <alignment horizontal="center" vertical="center"/>
      <protection locked="0"/>
    </xf>
    <xf numFmtId="175" fontId="7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4" xfId="0" applyNumberFormat="1" applyFont="1" applyFill="1" applyBorder="1" applyAlignment="1" applyProtection="1">
      <alignment horizontal="center" vertical="center"/>
      <protection locked="0"/>
    </xf>
    <xf numFmtId="175" fontId="27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49" fontId="13" fillId="38" borderId="30" xfId="0" applyNumberFormat="1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top" wrapText="1"/>
    </xf>
    <xf numFmtId="173" fontId="35" fillId="0" borderId="24" xfId="0" applyNumberFormat="1" applyFont="1" applyBorder="1" applyAlignment="1">
      <alignment horizontal="center" vertical="center" wrapText="1"/>
    </xf>
    <xf numFmtId="173" fontId="35" fillId="0" borderId="45" xfId="0" applyNumberFormat="1" applyFont="1" applyBorder="1" applyAlignment="1">
      <alignment horizontal="center" vertical="center" wrapText="1"/>
    </xf>
    <xf numFmtId="173" fontId="35" fillId="0" borderId="68" xfId="0" applyNumberFormat="1" applyFont="1" applyBorder="1" applyAlignment="1">
      <alignment horizontal="center" vertical="center" wrapText="1"/>
    </xf>
    <xf numFmtId="173" fontId="35" fillId="0" borderId="46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173" fontId="35" fillId="0" borderId="25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7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5" fillId="0" borderId="14" xfId="0" applyNumberFormat="1" applyFont="1" applyBorder="1" applyAlignment="1">
      <alignment horizontal="center" vertical="center" wrapText="1"/>
    </xf>
    <xf numFmtId="173" fontId="35" fillId="0" borderId="11" xfId="0" applyNumberFormat="1" applyFont="1" applyBorder="1" applyAlignment="1">
      <alignment horizontal="center" vertical="center" wrapText="1"/>
    </xf>
    <xf numFmtId="173" fontId="35" fillId="0" borderId="28" xfId="0" applyNumberFormat="1" applyFont="1" applyBorder="1" applyAlignment="1">
      <alignment horizontal="center" vertical="center" wrapText="1"/>
    </xf>
    <xf numFmtId="173" fontId="58" fillId="0" borderId="25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 wrapText="1"/>
    </xf>
    <xf numFmtId="173" fontId="58" fillId="0" borderId="14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 wrapText="1"/>
    </xf>
    <xf numFmtId="173" fontId="58" fillId="0" borderId="28" xfId="0" applyNumberFormat="1" applyFont="1" applyFill="1" applyBorder="1" applyAlignment="1">
      <alignment horizontal="center" vertical="center" wrapText="1"/>
    </xf>
    <xf numFmtId="49" fontId="14" fillId="36" borderId="57" xfId="0" applyNumberFormat="1" applyFont="1" applyFill="1" applyBorder="1" applyAlignment="1">
      <alignment horizontal="center" vertical="center" wrapText="1"/>
    </xf>
    <xf numFmtId="0" fontId="16" fillId="36" borderId="58" xfId="0" applyFont="1" applyFill="1" applyBorder="1" applyAlignment="1">
      <alignment horizontal="center" vertical="center" wrapText="1"/>
    </xf>
    <xf numFmtId="0" fontId="23" fillId="36" borderId="6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75" fontId="4" fillId="34" borderId="61" xfId="0" applyNumberFormat="1" applyFont="1" applyFill="1" applyBorder="1" applyAlignment="1">
      <alignment horizontal="center" vertical="center"/>
    </xf>
    <xf numFmtId="175" fontId="46" fillId="34" borderId="22" xfId="0" applyNumberFormat="1" applyFont="1" applyFill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175" fontId="38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175" fontId="38" fillId="0" borderId="10" xfId="0" applyNumberFormat="1" applyFont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175" fontId="23" fillId="36" borderId="22" xfId="0" applyNumberFormat="1" applyFont="1" applyFill="1" applyBorder="1" applyAlignment="1">
      <alignment horizontal="center" vertical="center" wrapText="1"/>
    </xf>
    <xf numFmtId="175" fontId="38" fillId="0" borderId="10" xfId="0" applyNumberFormat="1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175" fontId="38" fillId="0" borderId="65" xfId="0" applyNumberFormat="1" applyFont="1" applyBorder="1" applyAlignment="1">
      <alignment horizontal="center" vertical="center" wrapText="1"/>
    </xf>
    <xf numFmtId="175" fontId="38" fillId="0" borderId="37" xfId="0" applyNumberFormat="1" applyFont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75" fontId="17" fillId="34" borderId="22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 wrapText="1"/>
    </xf>
    <xf numFmtId="175" fontId="23" fillId="36" borderId="10" xfId="0" applyNumberFormat="1" applyFont="1" applyFill="1" applyBorder="1" applyAlignment="1">
      <alignment horizontal="center" vertical="center" wrapText="1"/>
    </xf>
    <xf numFmtId="175" fontId="23" fillId="37" borderId="10" xfId="0" applyNumberFormat="1" applyFont="1" applyFill="1" applyBorder="1" applyAlignment="1">
      <alignment horizontal="center" vertical="center" wrapText="1"/>
    </xf>
    <xf numFmtId="175" fontId="56" fillId="37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37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3" fillId="0" borderId="0" xfId="0" applyFont="1" applyAlignment="1">
      <alignment/>
    </xf>
    <xf numFmtId="0" fontId="31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4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44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/>
    </xf>
    <xf numFmtId="0" fontId="1" fillId="45" borderId="8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4" xfId="0" applyNumberFormat="1" applyFont="1" applyBorder="1" applyAlignment="1" applyProtection="1">
      <alignment horizontal="center" vertical="center" wrapText="1"/>
      <protection locked="0"/>
    </xf>
    <xf numFmtId="0" fontId="7" fillId="0" borderId="74" xfId="0" applyNumberFormat="1" applyFont="1" applyBorder="1" applyAlignment="1" applyProtection="1">
      <alignment horizontal="center" vertical="center" wrapText="1"/>
      <protection locked="0"/>
    </xf>
    <xf numFmtId="0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4" xfId="0" applyNumberFormat="1" applyFont="1" applyFill="1" applyBorder="1" applyAlignment="1" applyProtection="1">
      <alignment horizontal="center" vertical="center"/>
      <protection locked="0"/>
    </xf>
    <xf numFmtId="0" fontId="10" fillId="0" borderId="74" xfId="0" applyNumberFormat="1" applyFont="1" applyFill="1" applyBorder="1" applyAlignment="1" applyProtection="1">
      <alignment/>
      <protection locked="0"/>
    </xf>
    <xf numFmtId="0" fontId="10" fillId="0" borderId="74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31" fillId="50" borderId="11" xfId="0" applyNumberFormat="1" applyFont="1" applyFill="1" applyBorder="1" applyAlignment="1" applyProtection="1">
      <alignment vertical="center" wrapText="1"/>
      <protection locked="0"/>
    </xf>
    <xf numFmtId="0" fontId="3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1" fillId="50" borderId="11" xfId="0" applyNumberFormat="1" applyFont="1" applyFill="1" applyBorder="1" applyAlignment="1" applyProtection="1">
      <alignment wrapText="1" readingOrder="1"/>
      <protection locked="0"/>
    </xf>
    <xf numFmtId="0" fontId="124" fillId="50" borderId="11" xfId="0" applyNumberFormat="1" applyFont="1" applyFill="1" applyBorder="1" applyAlignment="1" applyProtection="1">
      <alignment wrapText="1" readingOrder="1"/>
      <protection locked="0"/>
    </xf>
    <xf numFmtId="0" fontId="124" fillId="50" borderId="11" xfId="0" applyNumberFormat="1" applyFont="1" applyFill="1" applyBorder="1" applyAlignment="1" applyProtection="1">
      <alignment vertical="center" wrapText="1"/>
      <protection locked="0"/>
    </xf>
    <xf numFmtId="49" fontId="31" fillId="0" borderId="11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28" xfId="0" applyNumberFormat="1" applyFont="1" applyBorder="1" applyAlignment="1">
      <alignment horizontal="center" vertical="center"/>
    </xf>
    <xf numFmtId="49" fontId="125" fillId="0" borderId="14" xfId="0" applyNumberFormat="1" applyFont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173" fontId="10" fillId="0" borderId="25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vertical="center" wrapText="1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9" fillId="0" borderId="20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7" fillId="0" borderId="79" xfId="0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7" fillId="4" borderId="10" xfId="0" applyNumberFormat="1" applyFont="1" applyFill="1" applyBorder="1" applyAlignment="1" applyProtection="1">
      <alignment horizontal="center" vertical="center"/>
      <protection locked="0"/>
    </xf>
    <xf numFmtId="175" fontId="27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0" fontId="26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67" xfId="0" applyFont="1" applyFill="1" applyBorder="1" applyAlignment="1">
      <alignment horizontal="center" vertical="center" wrapText="1"/>
    </xf>
    <xf numFmtId="0" fontId="6" fillId="35" borderId="69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/>
      <protection locked="0"/>
    </xf>
    <xf numFmtId="49" fontId="10" fillId="50" borderId="25" xfId="0" applyNumberFormat="1" applyFont="1" applyFill="1" applyBorder="1" applyAlignment="1" applyProtection="1">
      <alignment horizontal="center" vertical="center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49" fontId="7" fillId="50" borderId="25" xfId="0" applyNumberFormat="1" applyFont="1" applyFill="1" applyBorder="1" applyAlignment="1" applyProtection="1">
      <alignment horizontal="center" vertical="center"/>
      <protection locked="0"/>
    </xf>
    <xf numFmtId="49" fontId="9" fillId="50" borderId="25" xfId="0" applyNumberFormat="1" applyFont="1" applyFill="1" applyBorder="1" applyAlignment="1" applyProtection="1">
      <alignment horizontal="center" vertical="center"/>
      <protection locked="0"/>
    </xf>
    <xf numFmtId="49" fontId="1" fillId="50" borderId="87" xfId="0" applyNumberFormat="1" applyFont="1" applyFill="1" applyBorder="1" applyAlignment="1" applyProtection="1">
      <alignment horizontal="center" vertical="center"/>
      <protection locked="0"/>
    </xf>
    <xf numFmtId="49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50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50" borderId="20" xfId="0" applyNumberFormat="1" applyFont="1" applyFill="1" applyBorder="1" applyAlignment="1" applyProtection="1">
      <alignment/>
      <protection locked="0"/>
    </xf>
    <xf numFmtId="0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/>
      <protection locked="0"/>
    </xf>
    <xf numFmtId="0" fontId="28" fillId="50" borderId="75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37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60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27" xfId="0" applyFont="1" applyFill="1" applyBorder="1" applyAlignment="1">
      <alignment horizontal="center" vertical="center" wrapText="1"/>
    </xf>
    <xf numFmtId="49" fontId="10" fillId="50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56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/>
    </xf>
    <xf numFmtId="49" fontId="7" fillId="50" borderId="23" xfId="0" applyNumberFormat="1" applyFont="1" applyFill="1" applyBorder="1" applyAlignment="1">
      <alignment horizontal="center" vertical="center"/>
    </xf>
    <xf numFmtId="0" fontId="7" fillId="50" borderId="27" xfId="0" applyFont="1" applyFill="1" applyBorder="1" applyAlignment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173" fontId="9" fillId="0" borderId="30" xfId="0" applyNumberFormat="1" applyFont="1" applyBorder="1" applyAlignment="1">
      <alignment horizontal="center" vertical="center" wrapText="1"/>
    </xf>
    <xf numFmtId="173" fontId="9" fillId="0" borderId="33" xfId="0" applyNumberFormat="1" applyFont="1" applyBorder="1" applyAlignment="1">
      <alignment horizontal="center" vertical="center" wrapText="1"/>
    </xf>
    <xf numFmtId="173" fontId="9" fillId="0" borderId="31" xfId="0" applyNumberFormat="1" applyFont="1" applyBorder="1" applyAlignment="1">
      <alignment horizontal="center" vertical="center" wrapText="1"/>
    </xf>
    <xf numFmtId="173" fontId="10" fillId="0" borderId="28" xfId="0" applyNumberFormat="1" applyFont="1" applyBorder="1" applyAlignment="1">
      <alignment horizontal="center" vertical="center" wrapText="1"/>
    </xf>
    <xf numFmtId="173" fontId="26" fillId="0" borderId="28" xfId="0" applyNumberFormat="1" applyFont="1" applyBorder="1" applyAlignment="1">
      <alignment horizontal="center" vertical="center" wrapText="1"/>
    </xf>
    <xf numFmtId="173" fontId="9" fillId="0" borderId="29" xfId="0" applyNumberFormat="1" applyFont="1" applyBorder="1" applyAlignment="1">
      <alignment horizontal="center" vertical="center" wrapText="1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wrapText="1" readingOrder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67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8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0" fontId="12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7" xfId="0" applyNumberFormat="1" applyFont="1" applyBorder="1" applyAlignment="1" applyProtection="1">
      <alignment vertical="center" wrapText="1"/>
      <protection locked="0"/>
    </xf>
    <xf numFmtId="49" fontId="3" fillId="0" borderId="70" xfId="0" applyNumberFormat="1" applyFont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0" xfId="0" applyFont="1" applyFill="1" applyBorder="1" applyAlignment="1">
      <alignment horizontal="center" vertical="center" wrapText="1"/>
    </xf>
    <xf numFmtId="0" fontId="10" fillId="5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0" xfId="0" applyNumberFormat="1" applyFont="1" applyFill="1" applyBorder="1" applyAlignment="1" applyProtection="1">
      <alignment horizontal="center" vertical="center"/>
      <protection locked="0"/>
    </xf>
    <xf numFmtId="0" fontId="5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9" borderId="20" xfId="0" applyNumberFormat="1" applyFont="1" applyFill="1" applyBorder="1" applyAlignment="1" applyProtection="1">
      <alignment horizontal="center" vertical="center"/>
      <protection locked="0"/>
    </xf>
    <xf numFmtId="0" fontId="0" fillId="49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4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75" xfId="0" applyNumberFormat="1" applyFont="1" applyFill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2" fillId="50" borderId="65" xfId="0" applyNumberFormat="1" applyFont="1" applyFill="1" applyBorder="1" applyAlignment="1" applyProtection="1">
      <alignment wrapText="1" readingOrder="1"/>
      <protection locked="0"/>
    </xf>
    <xf numFmtId="0" fontId="12" fillId="5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56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31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2" xfId="0" applyNumberFormat="1" applyFont="1" applyFill="1" applyBorder="1" applyAlignment="1" applyProtection="1">
      <alignment horizontal="center" vertical="center"/>
      <protection locked="0"/>
    </xf>
    <xf numFmtId="0" fontId="1" fillId="31" borderId="61" xfId="0" applyNumberFormat="1" applyFont="1" applyFill="1" applyBorder="1" applyAlignment="1" applyProtection="1">
      <alignment horizontal="center" vertical="center"/>
      <protection locked="0"/>
    </xf>
    <xf numFmtId="0" fontId="1" fillId="31" borderId="23" xfId="0" applyNumberFormat="1" applyFont="1" applyFill="1" applyBorder="1" applyAlignment="1" applyProtection="1">
      <alignment horizontal="center" vertical="center"/>
      <protection locked="0"/>
    </xf>
    <xf numFmtId="0" fontId="1" fillId="31" borderId="19" xfId="0" applyNumberFormat="1" applyFont="1" applyFill="1" applyBorder="1" applyAlignment="1" applyProtection="1">
      <alignment horizontal="center" vertical="center"/>
      <protection locked="0"/>
    </xf>
    <xf numFmtId="0" fontId="1" fillId="31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56" xfId="0" applyNumberFormat="1" applyFont="1" applyFill="1" applyBorder="1" applyAlignment="1" applyProtection="1">
      <alignment horizontal="center" vertical="center"/>
      <protection locked="0"/>
    </xf>
    <xf numFmtId="0" fontId="1" fillId="52" borderId="35" xfId="0" applyNumberFormat="1" applyFont="1" applyFill="1" applyBorder="1" applyAlignment="1" applyProtection="1">
      <alignment horizontal="center" vertical="center"/>
      <protection locked="0"/>
    </xf>
    <xf numFmtId="0" fontId="1" fillId="52" borderId="33" xfId="0" applyNumberFormat="1" applyFont="1" applyFill="1" applyBorder="1" applyAlignment="1" applyProtection="1">
      <alignment horizontal="center" vertical="center"/>
      <protection locked="0"/>
    </xf>
    <xf numFmtId="0" fontId="1" fillId="52" borderId="73" xfId="0" applyNumberFormat="1" applyFont="1" applyFill="1" applyBorder="1" applyAlignment="1" applyProtection="1">
      <alignment horizontal="center" vertical="center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10" xfId="0" applyFont="1" applyFill="1" applyBorder="1" applyAlignment="1">
      <alignment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0" xfId="0" applyFont="1" applyFill="1" applyBorder="1" applyAlignment="1">
      <alignment horizontal="center" vertical="center" wrapText="1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52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173" fontId="1" fillId="0" borderId="5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center" wrapText="1"/>
    </xf>
    <xf numFmtId="173" fontId="61" fillId="0" borderId="25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2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7" borderId="26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36" borderId="2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37" borderId="13" xfId="0" applyNumberFormat="1" applyFont="1" applyFill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5" fillId="34" borderId="52" xfId="0" applyNumberFormat="1" applyFont="1" applyFill="1" applyBorder="1" applyAlignment="1">
      <alignment horizontal="center" vertical="center" wrapText="1"/>
    </xf>
    <xf numFmtId="49" fontId="16" fillId="36" borderId="25" xfId="0" applyNumberFormat="1" applyFont="1" applyFill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21" fillId="37" borderId="25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0" fontId="53" fillId="0" borderId="79" xfId="0" applyFont="1" applyBorder="1" applyAlignment="1">
      <alignment vertical="top" wrapText="1"/>
    </xf>
    <xf numFmtId="0" fontId="34" fillId="0" borderId="79" xfId="0" applyFont="1" applyBorder="1" applyAlignment="1">
      <alignment vertical="top" wrapText="1"/>
    </xf>
    <xf numFmtId="0" fontId="53" fillId="0" borderId="79" xfId="0" applyFont="1" applyBorder="1" applyAlignment="1">
      <alignment horizontal="left" vertical="top" wrapText="1"/>
    </xf>
    <xf numFmtId="0" fontId="34" fillId="0" borderId="79" xfId="0" applyFont="1" applyBorder="1" applyAlignment="1">
      <alignment horizontal="left" vertical="top" wrapText="1"/>
    </xf>
    <xf numFmtId="0" fontId="13" fillId="0" borderId="79" xfId="0" applyFont="1" applyBorder="1" applyAlignment="1">
      <alignment vertical="top" wrapText="1"/>
    </xf>
    <xf numFmtId="0" fontId="30" fillId="36" borderId="51" xfId="0" applyFont="1" applyFill="1" applyBorder="1" applyAlignment="1">
      <alignment vertical="top" wrapText="1"/>
    </xf>
    <xf numFmtId="0" fontId="19" fillId="0" borderId="64" xfId="0" applyFont="1" applyBorder="1" applyAlignment="1">
      <alignment vertical="top" wrapText="1"/>
    </xf>
    <xf numFmtId="0" fontId="19" fillId="0" borderId="79" xfId="0" applyFont="1" applyBorder="1" applyAlignment="1">
      <alignment vertical="top" wrapText="1"/>
    </xf>
    <xf numFmtId="0" fontId="41" fillId="37" borderId="48" xfId="0" applyFont="1" applyFill="1" applyBorder="1" applyAlignment="1">
      <alignment vertical="top" wrapText="1"/>
    </xf>
    <xf numFmtId="0" fontId="30" fillId="0" borderId="32" xfId="0" applyFont="1" applyFill="1" applyBorder="1" applyAlignment="1">
      <alignment vertical="top" wrapText="1"/>
    </xf>
    <xf numFmtId="0" fontId="19" fillId="0" borderId="79" xfId="0" applyFont="1" applyFill="1" applyBorder="1" applyAlignment="1">
      <alignment vertical="top" wrapText="1"/>
    </xf>
    <xf numFmtId="0" fontId="34" fillId="0" borderId="79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79" xfId="0" applyFont="1" applyFill="1" applyBorder="1" applyAlignment="1">
      <alignment vertical="top" wrapText="1"/>
    </xf>
    <xf numFmtId="0" fontId="30" fillId="0" borderId="80" xfId="0" applyFont="1" applyFill="1" applyBorder="1" applyAlignment="1">
      <alignment vertical="top" wrapText="1"/>
    </xf>
    <xf numFmtId="0" fontId="30" fillId="0" borderId="79" xfId="0" applyFont="1" applyFill="1" applyBorder="1" applyAlignment="1">
      <alignment vertical="top" wrapText="1"/>
    </xf>
    <xf numFmtId="0" fontId="19" fillId="0" borderId="51" xfId="0" applyFont="1" applyFill="1" applyBorder="1" applyAlignment="1">
      <alignment vertical="top" wrapText="1"/>
    </xf>
    <xf numFmtId="0" fontId="13" fillId="36" borderId="17" xfId="0" applyFont="1" applyFill="1" applyBorder="1" applyAlignment="1">
      <alignment vertical="top" wrapText="1"/>
    </xf>
    <xf numFmtId="0" fontId="30" fillId="0" borderId="80" xfId="0" applyFont="1" applyBorder="1" applyAlignment="1">
      <alignment vertical="top" wrapText="1"/>
    </xf>
    <xf numFmtId="0" fontId="13" fillId="0" borderId="79" xfId="0" applyNumberFormat="1" applyFont="1" applyBorder="1" applyAlignment="1" applyProtection="1">
      <alignment vertical="top" wrapText="1"/>
      <protection locked="0"/>
    </xf>
    <xf numFmtId="0" fontId="30" fillId="0" borderId="79" xfId="0" applyFont="1" applyBorder="1" applyAlignment="1">
      <alignment vertical="top" wrapText="1"/>
    </xf>
    <xf numFmtId="0" fontId="34" fillId="0" borderId="79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14" fillId="34" borderId="17" xfId="0" applyFont="1" applyFill="1" applyBorder="1" applyAlignment="1">
      <alignment horizontal="center" vertical="center" wrapText="1"/>
    </xf>
    <xf numFmtId="0" fontId="30" fillId="36" borderId="48" xfId="0" applyFont="1" applyFill="1" applyBorder="1" applyAlignment="1">
      <alignment vertical="top" wrapText="1"/>
    </xf>
    <xf numFmtId="0" fontId="13" fillId="0" borderId="79" xfId="0" applyFont="1" applyFill="1" applyBorder="1" applyAlignment="1">
      <alignment vertical="top" wrapText="1"/>
    </xf>
    <xf numFmtId="0" fontId="21" fillId="0" borderId="79" xfId="0" applyFont="1" applyFill="1" applyBorder="1" applyAlignment="1">
      <alignment vertical="top" wrapText="1"/>
    </xf>
    <xf numFmtId="0" fontId="13" fillId="36" borderId="79" xfId="0" applyFont="1" applyFill="1" applyBorder="1" applyAlignment="1">
      <alignment vertical="top" wrapText="1"/>
    </xf>
    <xf numFmtId="0" fontId="21" fillId="37" borderId="79" xfId="0" applyFont="1" applyFill="1" applyBorder="1" applyAlignment="1">
      <alignment vertical="top" wrapText="1"/>
    </xf>
    <xf numFmtId="0" fontId="21" fillId="0" borderId="79" xfId="0" applyFont="1" applyBorder="1" applyAlignment="1">
      <alignment vertical="center" wrapText="1"/>
    </xf>
    <xf numFmtId="0" fontId="21" fillId="0" borderId="79" xfId="0" applyFont="1" applyBorder="1" applyAlignment="1">
      <alignment vertical="top" wrapText="1"/>
    </xf>
    <xf numFmtId="0" fontId="34" fillId="0" borderId="66" xfId="0" applyFont="1" applyBorder="1" applyAlignment="1">
      <alignment vertical="top" wrapText="1"/>
    </xf>
    <xf numFmtId="0" fontId="34" fillId="0" borderId="64" xfId="0" applyFont="1" applyBorder="1" applyAlignment="1">
      <alignment vertical="top" wrapText="1"/>
    </xf>
    <xf numFmtId="0" fontId="53" fillId="0" borderId="28" xfId="0" applyFont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173" fontId="9" fillId="0" borderId="11" xfId="0" applyNumberFormat="1" applyFont="1" applyBorder="1" applyAlignment="1">
      <alignment horizontal="center" vertical="center" wrapText="1"/>
    </xf>
    <xf numFmtId="173" fontId="37" fillId="0" borderId="79" xfId="0" applyNumberFormat="1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173" fontId="10" fillId="0" borderId="65" xfId="0" applyNumberFormat="1" applyFont="1" applyBorder="1" applyAlignment="1">
      <alignment horizontal="center" vertical="center" wrapText="1"/>
    </xf>
    <xf numFmtId="173" fontId="26" fillId="0" borderId="65" xfId="0" applyNumberFormat="1" applyFont="1" applyBorder="1" applyAlignment="1">
      <alignment horizontal="center" vertical="center" wrapText="1"/>
    </xf>
    <xf numFmtId="173" fontId="0" fillId="0" borderId="65" xfId="0" applyNumberFormat="1" applyFont="1" applyBorder="1" applyAlignment="1">
      <alignment horizontal="center" vertical="center" wrapText="1"/>
    </xf>
    <xf numFmtId="173" fontId="0" fillId="0" borderId="64" xfId="0" applyNumberFormat="1" applyFont="1" applyBorder="1" applyAlignment="1">
      <alignment horizontal="center" vertical="center" wrapText="1"/>
    </xf>
    <xf numFmtId="173" fontId="128" fillId="0" borderId="10" xfId="0" applyNumberFormat="1" applyFont="1" applyBorder="1" applyAlignment="1">
      <alignment horizontal="center" vertical="center" wrapText="1"/>
    </xf>
    <xf numFmtId="173" fontId="123" fillId="0" borderId="10" xfId="0" applyNumberFormat="1" applyFont="1" applyBorder="1" applyAlignment="1">
      <alignment horizontal="center" vertical="center" wrapText="1"/>
    </xf>
    <xf numFmtId="173" fontId="123" fillId="0" borderId="25" xfId="0" applyNumberFormat="1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173" fontId="129" fillId="0" borderId="10" xfId="0" applyNumberFormat="1" applyFont="1" applyBorder="1" applyAlignment="1">
      <alignment horizontal="center" vertical="center" wrapText="1"/>
    </xf>
    <xf numFmtId="173" fontId="129" fillId="0" borderId="25" xfId="0" applyNumberFormat="1" applyFont="1" applyBorder="1" applyAlignment="1">
      <alignment horizontal="center" vertical="center" wrapText="1"/>
    </xf>
    <xf numFmtId="173" fontId="128" fillId="0" borderId="25" xfId="0" applyNumberFormat="1" applyFont="1" applyBorder="1" applyAlignment="1">
      <alignment horizontal="center" vertical="center" wrapText="1"/>
    </xf>
    <xf numFmtId="173" fontId="9" fillId="0" borderId="65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50" borderId="24" xfId="0" applyFont="1" applyFill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173" fontId="130" fillId="0" borderId="10" xfId="0" applyNumberFormat="1" applyFont="1" applyBorder="1" applyAlignment="1">
      <alignment horizontal="center" vertical="center" wrapText="1"/>
    </xf>
    <xf numFmtId="173" fontId="130" fillId="0" borderId="25" xfId="0" applyNumberFormat="1" applyFont="1" applyBorder="1" applyAlignment="1">
      <alignment horizontal="center" vertical="center" wrapText="1"/>
    </xf>
    <xf numFmtId="173" fontId="131" fillId="0" borderId="10" xfId="0" applyNumberFormat="1" applyFont="1" applyBorder="1" applyAlignment="1">
      <alignment horizontal="center" vertical="center" wrapText="1"/>
    </xf>
    <xf numFmtId="173" fontId="131" fillId="0" borderId="25" xfId="0" applyNumberFormat="1" applyFont="1" applyBorder="1" applyAlignment="1">
      <alignment horizontal="center" vertical="center" wrapText="1"/>
    </xf>
    <xf numFmtId="173" fontId="132" fillId="0" borderId="10" xfId="0" applyNumberFormat="1" applyFont="1" applyBorder="1" applyAlignment="1">
      <alignment horizontal="center" vertical="center" wrapText="1"/>
    </xf>
    <xf numFmtId="173" fontId="132" fillId="0" borderId="25" xfId="0" applyNumberFormat="1" applyFont="1" applyBorder="1" applyAlignment="1">
      <alignment horizontal="center" vertical="center" wrapText="1"/>
    </xf>
    <xf numFmtId="173" fontId="133" fillId="0" borderId="10" xfId="0" applyNumberFormat="1" applyFont="1" applyBorder="1" applyAlignment="1">
      <alignment horizontal="center" vertical="center" wrapText="1"/>
    </xf>
    <xf numFmtId="173" fontId="134" fillId="0" borderId="10" xfId="0" applyNumberFormat="1" applyFont="1" applyBorder="1" applyAlignment="1">
      <alignment horizontal="center" vertical="center" wrapText="1"/>
    </xf>
    <xf numFmtId="173" fontId="134" fillId="0" borderId="25" xfId="0" applyNumberFormat="1" applyFont="1" applyBorder="1" applyAlignment="1">
      <alignment horizontal="center" vertical="center" wrapText="1"/>
    </xf>
    <xf numFmtId="173" fontId="135" fillId="0" borderId="10" xfId="0" applyNumberFormat="1" applyFont="1" applyBorder="1" applyAlignment="1">
      <alignment horizontal="center" vertical="center" wrapText="1"/>
    </xf>
    <xf numFmtId="173" fontId="135" fillId="0" borderId="25" xfId="0" applyNumberFormat="1" applyFont="1" applyBorder="1" applyAlignment="1">
      <alignment horizontal="center" vertical="center" wrapText="1"/>
    </xf>
    <xf numFmtId="173" fontId="136" fillId="0" borderId="10" xfId="0" applyNumberFormat="1" applyFont="1" applyBorder="1" applyAlignment="1">
      <alignment horizontal="center" vertical="center" wrapText="1"/>
    </xf>
    <xf numFmtId="173" fontId="136" fillId="0" borderId="25" xfId="0" applyNumberFormat="1" applyFont="1" applyBorder="1" applyAlignment="1">
      <alignment horizontal="center" vertical="center" wrapText="1"/>
    </xf>
    <xf numFmtId="173" fontId="136" fillId="0" borderId="65" xfId="0" applyNumberFormat="1" applyFont="1" applyBorder="1" applyAlignment="1">
      <alignment horizontal="center" vertical="center" wrapText="1"/>
    </xf>
    <xf numFmtId="173" fontId="136" fillId="0" borderId="53" xfId="0" applyNumberFormat="1" applyFont="1" applyBorder="1" applyAlignment="1">
      <alignment horizontal="center" vertical="center" wrapText="1"/>
    </xf>
    <xf numFmtId="173" fontId="136" fillId="0" borderId="78" xfId="0" applyNumberFormat="1" applyFont="1" applyBorder="1" applyAlignment="1">
      <alignment horizontal="center" vertical="center" wrapText="1"/>
    </xf>
    <xf numFmtId="173" fontId="136" fillId="0" borderId="49" xfId="0" applyNumberFormat="1" applyFont="1" applyBorder="1" applyAlignment="1">
      <alignment horizontal="center" vertical="center" wrapText="1"/>
    </xf>
    <xf numFmtId="173" fontId="130" fillId="35" borderId="22" xfId="0" applyNumberFormat="1" applyFont="1" applyFill="1" applyBorder="1" applyAlignment="1">
      <alignment horizontal="center" vertical="center" wrapText="1"/>
    </xf>
    <xf numFmtId="173" fontId="130" fillId="40" borderId="56" xfId="0" applyNumberFormat="1" applyFont="1" applyFill="1" applyBorder="1" applyAlignment="1">
      <alignment horizontal="center" vertical="center" wrapText="1"/>
    </xf>
    <xf numFmtId="173" fontId="130" fillId="40" borderId="24" xfId="0" applyNumberFormat="1" applyFont="1" applyFill="1" applyBorder="1" applyAlignment="1">
      <alignment horizontal="center" vertical="center" wrapText="1"/>
    </xf>
    <xf numFmtId="173" fontId="137" fillId="0" borderId="10" xfId="0" applyNumberFormat="1" applyFont="1" applyBorder="1" applyAlignment="1">
      <alignment horizontal="center" vertical="center" wrapText="1"/>
    </xf>
    <xf numFmtId="173" fontId="137" fillId="0" borderId="25" xfId="0" applyNumberFormat="1" applyFont="1" applyBorder="1" applyAlignment="1">
      <alignment horizontal="center" vertical="center" wrapText="1"/>
    </xf>
    <xf numFmtId="173" fontId="138" fillId="0" borderId="25" xfId="0" applyNumberFormat="1" applyFont="1" applyBorder="1" applyAlignment="1">
      <alignment horizontal="center" vertical="center" wrapText="1"/>
    </xf>
    <xf numFmtId="173" fontId="138" fillId="0" borderId="10" xfId="0" applyNumberFormat="1" applyFont="1" applyBorder="1" applyAlignment="1">
      <alignment horizontal="center" vertical="center" wrapText="1"/>
    </xf>
    <xf numFmtId="0" fontId="135" fillId="0" borderId="49" xfId="0" applyFont="1" applyBorder="1" applyAlignment="1">
      <alignment/>
    </xf>
    <xf numFmtId="0" fontId="135" fillId="0" borderId="0" xfId="0" applyFont="1" applyBorder="1" applyAlignment="1">
      <alignment/>
    </xf>
    <xf numFmtId="0" fontId="135" fillId="0" borderId="86" xfId="0" applyFont="1" applyBorder="1" applyAlignment="1">
      <alignment/>
    </xf>
    <xf numFmtId="173" fontId="130" fillId="40" borderId="30" xfId="0" applyNumberFormat="1" applyFont="1" applyFill="1" applyBorder="1" applyAlignment="1">
      <alignment horizontal="center" vertical="center" wrapText="1"/>
    </xf>
    <xf numFmtId="173" fontId="130" fillId="40" borderId="73" xfId="0" applyNumberFormat="1" applyFont="1" applyFill="1" applyBorder="1" applyAlignment="1">
      <alignment horizontal="center" vertical="center" wrapText="1"/>
    </xf>
    <xf numFmtId="173" fontId="136" fillId="0" borderId="37" xfId="0" applyNumberFormat="1" applyFont="1" applyBorder="1" applyAlignment="1">
      <alignment horizontal="center" vertical="center" wrapText="1"/>
    </xf>
    <xf numFmtId="173" fontId="136" fillId="0" borderId="87" xfId="0" applyNumberFormat="1" applyFont="1" applyBorder="1" applyAlignment="1">
      <alignment horizontal="center" vertical="center" wrapText="1"/>
    </xf>
    <xf numFmtId="173" fontId="132" fillId="0" borderId="79" xfId="0" applyNumberFormat="1" applyFont="1" applyBorder="1" applyAlignment="1">
      <alignment horizontal="center" vertical="center" wrapText="1"/>
    </xf>
    <xf numFmtId="173" fontId="136" fillId="0" borderId="79" xfId="0" applyNumberFormat="1" applyFont="1" applyBorder="1" applyAlignment="1">
      <alignment horizontal="center" vertical="center" wrapText="1"/>
    </xf>
    <xf numFmtId="173" fontId="135" fillId="0" borderId="79" xfId="0" applyNumberFormat="1" applyFont="1" applyBorder="1" applyAlignment="1">
      <alignment horizontal="center" vertical="center" wrapText="1"/>
    </xf>
    <xf numFmtId="173" fontId="133" fillId="0" borderId="79" xfId="0" applyNumberFormat="1" applyFont="1" applyBorder="1" applyAlignment="1">
      <alignment horizontal="center" vertical="center" wrapText="1"/>
    </xf>
    <xf numFmtId="173" fontId="138" fillId="0" borderId="56" xfId="0" applyNumberFormat="1" applyFont="1" applyBorder="1" applyAlignment="1">
      <alignment horizontal="center" vertical="center" wrapText="1"/>
    </xf>
    <xf numFmtId="173" fontId="138" fillId="0" borderId="24" xfId="0" applyNumberFormat="1" applyFont="1" applyBorder="1" applyAlignment="1">
      <alignment horizontal="center" vertical="center" wrapText="1"/>
    </xf>
    <xf numFmtId="173" fontId="130" fillId="35" borderId="13" xfId="0" applyNumberFormat="1" applyFont="1" applyFill="1" applyBorder="1" applyAlignment="1">
      <alignment horizontal="center" vertical="center" wrapText="1"/>
    </xf>
    <xf numFmtId="173" fontId="139" fillId="40" borderId="56" xfId="0" applyNumberFormat="1" applyFont="1" applyFill="1" applyBorder="1" applyAlignment="1">
      <alignment horizontal="center" vertical="center" wrapText="1"/>
    </xf>
    <xf numFmtId="173" fontId="139" fillId="40" borderId="24" xfId="0" applyNumberFormat="1" applyFont="1" applyFill="1" applyBorder="1" applyAlignment="1">
      <alignment horizontal="center" vertical="center" wrapText="1"/>
    </xf>
    <xf numFmtId="173" fontId="135" fillId="0" borderId="65" xfId="0" applyNumberFormat="1" applyFont="1" applyBorder="1" applyAlignment="1">
      <alignment horizontal="center" vertical="center" wrapText="1"/>
    </xf>
    <xf numFmtId="173" fontId="130" fillId="0" borderId="13" xfId="0" applyNumberFormat="1" applyFont="1" applyBorder="1" applyAlignment="1">
      <alignment horizontal="center" vertical="center" wrapText="1"/>
    </xf>
    <xf numFmtId="173" fontId="130" fillId="0" borderId="22" xfId="0" applyNumberFormat="1" applyFont="1" applyBorder="1" applyAlignment="1">
      <alignment horizontal="center" vertical="center" wrapText="1"/>
    </xf>
    <xf numFmtId="173" fontId="130" fillId="43" borderId="52" xfId="0" applyNumberFormat="1" applyFont="1" applyFill="1" applyBorder="1" applyAlignment="1">
      <alignment horizontal="center" vertical="center" wrapText="1"/>
    </xf>
    <xf numFmtId="173" fontId="130" fillId="43" borderId="55" xfId="0" applyNumberFormat="1" applyFont="1" applyFill="1" applyBorder="1" applyAlignment="1">
      <alignment horizontal="center" vertical="center" wrapText="1"/>
    </xf>
    <xf numFmtId="173" fontId="130" fillId="40" borderId="54" xfId="0" applyNumberFormat="1" applyFont="1" applyFill="1" applyBorder="1" applyAlignment="1">
      <alignment horizontal="center" vertical="center" wrapText="1"/>
    </xf>
    <xf numFmtId="173" fontId="130" fillId="40" borderId="36" xfId="0" applyNumberFormat="1" applyFont="1" applyFill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9" fillId="0" borderId="49" xfId="0" applyNumberFormat="1" applyFont="1" applyBorder="1" applyAlignment="1">
      <alignment horizontal="center" vertical="center" wrapText="1"/>
    </xf>
    <xf numFmtId="173" fontId="9" fillId="0" borderId="87" xfId="0" applyNumberFormat="1" applyFont="1" applyBorder="1" applyAlignment="1">
      <alignment horizontal="center" vertical="center" wrapText="1"/>
    </xf>
    <xf numFmtId="173" fontId="1" fillId="40" borderId="30" xfId="0" applyNumberFormat="1" applyFont="1" applyFill="1" applyBorder="1" applyAlignment="1">
      <alignment horizontal="center" vertical="center" wrapText="1"/>
    </xf>
    <xf numFmtId="173" fontId="1" fillId="40" borderId="73" xfId="0" applyNumberFormat="1" applyFont="1" applyFill="1" applyBorder="1" applyAlignment="1">
      <alignment horizontal="center" vertical="center" wrapText="1"/>
    </xf>
    <xf numFmtId="173" fontId="1" fillId="40" borderId="24" xfId="0" applyNumberFormat="1" applyFont="1" applyFill="1" applyBorder="1" applyAlignment="1">
      <alignment horizontal="center" vertical="center" wrapText="1"/>
    </xf>
    <xf numFmtId="173" fontId="1" fillId="40" borderId="56" xfId="0" applyNumberFormat="1" applyFont="1" applyFill="1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3" fontId="1" fillId="35" borderId="22" xfId="0" applyNumberFormat="1" applyFont="1" applyFill="1" applyBorder="1" applyAlignment="1">
      <alignment horizontal="center" vertical="center" wrapText="1"/>
    </xf>
    <xf numFmtId="173" fontId="37" fillId="0" borderId="25" xfId="0" applyNumberFormat="1" applyFont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173" fontId="1" fillId="35" borderId="63" xfId="0" applyNumberFormat="1" applyFont="1" applyFill="1" applyBorder="1" applyAlignment="1">
      <alignment horizontal="center" vertical="center" wrapText="1"/>
    </xf>
    <xf numFmtId="173" fontId="1" fillId="40" borderId="14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28" xfId="0" applyNumberFormat="1" applyFont="1" applyFill="1" applyBorder="1" applyAlignment="1">
      <alignment horizontal="center" vertical="center" wrapText="1"/>
    </xf>
    <xf numFmtId="173" fontId="26" fillId="0" borderId="79" xfId="0" applyNumberFormat="1" applyFont="1" applyBorder="1" applyAlignment="1">
      <alignment horizontal="center" vertical="center" wrapText="1"/>
    </xf>
    <xf numFmtId="173" fontId="9" fillId="0" borderId="79" xfId="0" applyNumberFormat="1" applyFont="1" applyBorder="1" applyAlignment="1">
      <alignment horizontal="center" vertical="center" wrapText="1"/>
    </xf>
    <xf numFmtId="173" fontId="0" fillId="0" borderId="79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9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9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79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79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1" fillId="35" borderId="17" xfId="0" applyNumberFormat="1" applyFont="1" applyFill="1" applyBorder="1" applyAlignment="1">
      <alignment horizontal="center" vertical="center" wrapText="1"/>
    </xf>
    <xf numFmtId="173" fontId="1" fillId="40" borderId="37" xfId="0" applyNumberFormat="1" applyFont="1" applyFill="1" applyBorder="1" applyAlignment="1">
      <alignment horizontal="center" vertical="center" wrapText="1"/>
    </xf>
    <xf numFmtId="173" fontId="1" fillId="0" borderId="36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3" fontId="9" fillId="0" borderId="7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25" xfId="0" applyNumberFormat="1" applyFont="1" applyBorder="1" applyAlignment="1">
      <alignment horizontal="center" vertical="center" wrapText="1"/>
    </xf>
    <xf numFmtId="173" fontId="1" fillId="40" borderId="54" xfId="0" applyNumberFormat="1" applyFont="1" applyFill="1" applyBorder="1" applyAlignment="1">
      <alignment horizontal="center" vertical="center" wrapText="1"/>
    </xf>
    <xf numFmtId="173" fontId="1" fillId="40" borderId="36" xfId="0" applyNumberFormat="1" applyFont="1" applyFill="1" applyBorder="1" applyAlignment="1">
      <alignment horizontal="center" vertical="center" wrapText="1"/>
    </xf>
    <xf numFmtId="173" fontId="0" fillId="0" borderId="37" xfId="0" applyNumberFormat="1" applyFont="1" applyBorder="1" applyAlignment="1">
      <alignment horizontal="center" vertical="center" wrapText="1"/>
    </xf>
    <xf numFmtId="173" fontId="9" fillId="0" borderId="63" xfId="0" applyNumberFormat="1" applyFont="1" applyBorder="1" applyAlignment="1">
      <alignment horizontal="center" vertical="center" wrapText="1"/>
    </xf>
    <xf numFmtId="173" fontId="1" fillId="40" borderId="25" xfId="0" applyNumberFormat="1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173" fontId="26" fillId="0" borderId="14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28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3" fontId="8" fillId="0" borderId="25" xfId="0" applyNumberFormat="1" applyFont="1" applyBorder="1" applyAlignment="1">
      <alignment horizontal="center" vertical="center" wrapText="1"/>
    </xf>
    <xf numFmtId="175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wrapText="1" readingOrder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75" fontId="1" fillId="50" borderId="56" xfId="0" applyNumberFormat="1" applyFont="1" applyFill="1" applyBorder="1" applyAlignment="1" applyProtection="1">
      <alignment horizontal="center" vertical="center"/>
      <protection locked="0"/>
    </xf>
    <xf numFmtId="175" fontId="1" fillId="50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175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49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49" fontId="2" fillId="49" borderId="52" xfId="0" applyNumberFormat="1" applyFont="1" applyFill="1" applyBorder="1" applyAlignment="1" applyProtection="1">
      <alignment horizontal="center" vertical="center"/>
      <protection locked="0"/>
    </xf>
    <xf numFmtId="0" fontId="10" fillId="50" borderId="38" xfId="0" applyNumberFormat="1" applyFont="1" applyFill="1" applyBorder="1" applyAlignment="1" applyProtection="1">
      <alignment vertical="center" wrapText="1"/>
      <protection locked="0"/>
    </xf>
    <xf numFmtId="0" fontId="10" fillId="5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5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87" xfId="0" applyNumberFormat="1" applyFont="1" applyFill="1" applyBorder="1" applyAlignment="1" applyProtection="1">
      <alignment horizontal="center" vertical="center"/>
      <protection locked="0"/>
    </xf>
    <xf numFmtId="175" fontId="2" fillId="50" borderId="24" xfId="0" applyNumberFormat="1" applyFont="1" applyFill="1" applyBorder="1" applyAlignment="1" applyProtection="1">
      <alignment horizontal="center" vertical="center"/>
      <protection locked="0"/>
    </xf>
    <xf numFmtId="175" fontId="7" fillId="50" borderId="87" xfId="0" applyNumberFormat="1" applyFont="1" applyFill="1" applyBorder="1" applyAlignment="1" applyProtection="1">
      <alignment horizontal="center" vertical="center"/>
      <protection locked="0"/>
    </xf>
    <xf numFmtId="175" fontId="10" fillId="50" borderId="56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5" fontId="2" fillId="50" borderId="56" xfId="0" applyNumberFormat="1" applyFont="1" applyFill="1" applyBorder="1" applyAlignment="1" applyProtection="1">
      <alignment horizontal="center" vertical="center"/>
      <protection locked="0"/>
    </xf>
    <xf numFmtId="175" fontId="14" fillId="50" borderId="13" xfId="0" applyNumberFormat="1" applyFont="1" applyFill="1" applyBorder="1" applyAlignment="1" applyProtection="1">
      <alignment horizontal="center"/>
      <protection locked="0"/>
    </xf>
    <xf numFmtId="175" fontId="13" fillId="50" borderId="24" xfId="0" applyNumberFormat="1" applyFont="1" applyFill="1" applyBorder="1" applyAlignment="1" applyProtection="1">
      <alignment horizontal="center"/>
      <protection locked="0"/>
    </xf>
    <xf numFmtId="175" fontId="13" fillId="50" borderId="25" xfId="0" applyNumberFormat="1" applyFont="1" applyFill="1" applyBorder="1" applyAlignment="1" applyProtection="1">
      <alignment horizontal="center"/>
      <protection locked="0"/>
    </xf>
    <xf numFmtId="175" fontId="18" fillId="50" borderId="25" xfId="0" applyNumberFormat="1" applyFont="1" applyFill="1" applyBorder="1" applyAlignment="1" applyProtection="1">
      <alignment horizontal="center"/>
      <protection locked="0"/>
    </xf>
    <xf numFmtId="175" fontId="18" fillId="50" borderId="53" xfId="0" applyNumberFormat="1" applyFont="1" applyFill="1" applyBorder="1" applyAlignment="1" applyProtection="1">
      <alignment horizontal="center"/>
      <protection locked="0"/>
    </xf>
    <xf numFmtId="175" fontId="14" fillId="50" borderId="22" xfId="0" applyNumberFormat="1" applyFont="1" applyFill="1" applyBorder="1" applyAlignment="1" applyProtection="1">
      <alignment horizontal="center"/>
      <protection locked="0"/>
    </xf>
    <xf numFmtId="49" fontId="2" fillId="50" borderId="13" xfId="0" applyNumberFormat="1" applyFont="1" applyFill="1" applyBorder="1" applyAlignment="1">
      <alignment horizontal="center" vertical="center" wrapText="1"/>
    </xf>
    <xf numFmtId="49" fontId="2" fillId="50" borderId="15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13" fillId="50" borderId="13" xfId="0" applyFont="1" applyFill="1" applyBorder="1" applyAlignment="1">
      <alignment horizontal="center" wrapText="1"/>
    </xf>
    <xf numFmtId="173" fontId="13" fillId="50" borderId="36" xfId="0" applyNumberFormat="1" applyFont="1" applyFill="1" applyBorder="1" applyAlignment="1">
      <alignment horizontal="center"/>
    </xf>
    <xf numFmtId="49" fontId="7" fillId="50" borderId="52" xfId="0" applyNumberFormat="1" applyFont="1" applyFill="1" applyBorder="1" applyAlignment="1">
      <alignment horizontal="center" vertical="center"/>
    </xf>
    <xf numFmtId="49" fontId="7" fillId="50" borderId="42" xfId="0" applyNumberFormat="1" applyFont="1" applyFill="1" applyBorder="1" applyAlignment="1">
      <alignment horizontal="center" vertical="center"/>
    </xf>
    <xf numFmtId="49" fontId="7" fillId="50" borderId="50" xfId="0" applyNumberFormat="1" applyFont="1" applyFill="1" applyBorder="1" applyAlignment="1">
      <alignment horizontal="center" vertical="center"/>
    </xf>
    <xf numFmtId="49" fontId="7" fillId="50" borderId="83" xfId="0" applyNumberFormat="1" applyFont="1" applyFill="1" applyBorder="1" applyAlignment="1">
      <alignment horizontal="center" vertical="center"/>
    </xf>
    <xf numFmtId="0" fontId="7" fillId="50" borderId="49" xfId="0" applyFont="1" applyFill="1" applyBorder="1" applyAlignment="1">
      <alignment horizontal="center"/>
    </xf>
    <xf numFmtId="1" fontId="7" fillId="50" borderId="65" xfId="0" applyNumberFormat="1" applyFont="1" applyFill="1" applyBorder="1" applyAlignment="1">
      <alignment horizontal="center"/>
    </xf>
    <xf numFmtId="0" fontId="1" fillId="50" borderId="15" xfId="0" applyFont="1" applyFill="1" applyBorder="1" applyAlignment="1">
      <alignment/>
    </xf>
    <xf numFmtId="49" fontId="1" fillId="50" borderId="23" xfId="0" applyNumberFormat="1" applyFont="1" applyFill="1" applyBorder="1" applyAlignment="1">
      <alignment horizontal="center" vertical="center"/>
    </xf>
    <xf numFmtId="49" fontId="0" fillId="50" borderId="23" xfId="0" applyNumberFormat="1" applyFont="1" applyFill="1" applyBorder="1" applyAlignment="1">
      <alignment horizontal="center" vertical="center"/>
    </xf>
    <xf numFmtId="49" fontId="0" fillId="50" borderId="19" xfId="0" applyNumberFormat="1" applyFont="1" applyFill="1" applyBorder="1" applyAlignment="1">
      <alignment horizontal="center" vertical="center"/>
    </xf>
    <xf numFmtId="175" fontId="1" fillId="50" borderId="13" xfId="0" applyNumberFormat="1" applyFont="1" applyFill="1" applyBorder="1" applyAlignment="1">
      <alignment horizontal="center"/>
    </xf>
    <xf numFmtId="175" fontId="1" fillId="50" borderId="22" xfId="0" applyNumberFormat="1" applyFont="1" applyFill="1" applyBorder="1" applyAlignment="1">
      <alignment horizontal="center"/>
    </xf>
    <xf numFmtId="49" fontId="27" fillId="50" borderId="12" xfId="0" applyNumberFormat="1" applyFont="1" applyFill="1" applyBorder="1" applyAlignment="1">
      <alignment horizontal="center" vertical="center"/>
    </xf>
    <xf numFmtId="49" fontId="27" fillId="50" borderId="21" xfId="0" applyNumberFormat="1" applyFont="1" applyFill="1" applyBorder="1" applyAlignment="1">
      <alignment horizontal="center" vertical="center"/>
    </xf>
    <xf numFmtId="175" fontId="27" fillId="50" borderId="53" xfId="0" applyNumberFormat="1" applyFont="1" applyFill="1" applyBorder="1" applyAlignment="1">
      <alignment horizontal="center"/>
    </xf>
    <xf numFmtId="175" fontId="27" fillId="50" borderId="65" xfId="0" applyNumberFormat="1" applyFont="1" applyFill="1" applyBorder="1" applyAlignment="1">
      <alignment horizontal="center"/>
    </xf>
    <xf numFmtId="0" fontId="1" fillId="50" borderId="15" xfId="0" applyNumberFormat="1" applyFont="1" applyFill="1" applyBorder="1" applyAlignment="1" applyProtection="1">
      <alignment horizontal="left"/>
      <protection locked="0"/>
    </xf>
    <xf numFmtId="0" fontId="1" fillId="50" borderId="23" xfId="0" applyNumberFormat="1" applyFont="1" applyFill="1" applyBorder="1" applyAlignment="1" applyProtection="1">
      <alignment horizontal="center" vertical="center"/>
      <protection locked="0"/>
    </xf>
    <xf numFmtId="0" fontId="1" fillId="50" borderId="19" xfId="0" applyNumberFormat="1" applyFont="1" applyFill="1" applyBorder="1" applyAlignment="1" applyProtection="1">
      <alignment horizontal="center" vertical="center"/>
      <protection locked="0"/>
    </xf>
    <xf numFmtId="175" fontId="1" fillId="50" borderId="13" xfId="0" applyNumberFormat="1" applyFont="1" applyFill="1" applyBorder="1" applyAlignment="1" applyProtection="1">
      <alignment horizontal="center"/>
      <protection locked="0"/>
    </xf>
    <xf numFmtId="175" fontId="1" fillId="50" borderId="22" xfId="0" applyNumberFormat="1" applyFont="1" applyFill="1" applyBorder="1" applyAlignment="1" applyProtection="1">
      <alignment horizontal="center"/>
      <protection locked="0"/>
    </xf>
    <xf numFmtId="0" fontId="1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13" xfId="0" applyNumberFormat="1" applyFont="1" applyFill="1" applyBorder="1" applyAlignment="1" applyProtection="1">
      <alignment horizontal="center" vertical="center"/>
      <protection locked="0"/>
    </xf>
    <xf numFmtId="175" fontId="1" fillId="50" borderId="22" xfId="0" applyNumberFormat="1" applyFont="1" applyFill="1" applyBorder="1" applyAlignment="1" applyProtection="1">
      <alignment horizontal="center" vertical="center"/>
      <protection locked="0"/>
    </xf>
    <xf numFmtId="175" fontId="27" fillId="50" borderId="10" xfId="0" applyNumberFormat="1" applyFont="1" applyFill="1" applyBorder="1" applyAlignment="1" applyProtection="1">
      <alignment horizontal="center" vertical="center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25" xfId="0" applyNumberFormat="1" applyFont="1" applyFill="1" applyBorder="1" applyAlignment="1" applyProtection="1">
      <alignment horizontal="center" vertical="center"/>
      <protection locked="0"/>
    </xf>
    <xf numFmtId="175" fontId="7" fillId="50" borderId="25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wrapText="1" readingOrder="1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27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3" fillId="50" borderId="86" xfId="0" applyFont="1" applyFill="1" applyBorder="1" applyAlignment="1">
      <alignment horizontal="center"/>
    </xf>
    <xf numFmtId="1" fontId="18" fillId="50" borderId="74" xfId="0" applyNumberFormat="1" applyFont="1" applyFill="1" applyBorder="1" applyAlignment="1">
      <alignment horizontal="center"/>
    </xf>
    <xf numFmtId="0" fontId="18" fillId="50" borderId="87" xfId="0" applyFont="1" applyFill="1" applyBorder="1" applyAlignment="1">
      <alignment horizontal="center"/>
    </xf>
    <xf numFmtId="1" fontId="18" fillId="50" borderId="37" xfId="0" applyNumberFormat="1" applyFont="1" applyFill="1" applyBorder="1" applyAlignment="1">
      <alignment horizontal="center"/>
    </xf>
    <xf numFmtId="1" fontId="18" fillId="50" borderId="76" xfId="0" applyNumberFormat="1" applyFont="1" applyFill="1" applyBorder="1" applyAlignment="1">
      <alignment horizontal="center"/>
    </xf>
    <xf numFmtId="175" fontId="13" fillId="50" borderId="24" xfId="0" applyNumberFormat="1" applyFont="1" applyFill="1" applyBorder="1" applyAlignment="1">
      <alignment horizontal="center"/>
    </xf>
    <xf numFmtId="175" fontId="13" fillId="50" borderId="56" xfId="0" applyNumberFormat="1" applyFont="1" applyFill="1" applyBorder="1" applyAlignment="1">
      <alignment horizontal="center"/>
    </xf>
    <xf numFmtId="175" fontId="13" fillId="50" borderId="25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 applyProtection="1">
      <alignment horizontal="center"/>
      <protection locked="0"/>
    </xf>
    <xf numFmtId="175" fontId="18" fillId="50" borderId="25" xfId="0" applyNumberFormat="1" applyFont="1" applyFill="1" applyBorder="1" applyAlignment="1">
      <alignment horizontal="center"/>
    </xf>
    <xf numFmtId="175" fontId="18" fillId="50" borderId="10" xfId="0" applyNumberFormat="1" applyFont="1" applyFill="1" applyBorder="1" applyAlignment="1">
      <alignment horizontal="center"/>
    </xf>
    <xf numFmtId="175" fontId="12" fillId="50" borderId="53" xfId="0" applyNumberFormat="1" applyFont="1" applyFill="1" applyBorder="1" applyAlignment="1">
      <alignment horizontal="center"/>
    </xf>
    <xf numFmtId="175" fontId="12" fillId="50" borderId="65" xfId="0" applyNumberFormat="1" applyFont="1" applyFill="1" applyBorder="1" applyAlignment="1">
      <alignment horizontal="center"/>
    </xf>
    <xf numFmtId="175" fontId="27" fillId="50" borderId="10" xfId="0" applyNumberFormat="1" applyFont="1" applyFill="1" applyBorder="1" applyAlignment="1" applyProtection="1">
      <alignment horizontal="center" vertical="center"/>
      <protection locked="0"/>
    </xf>
    <xf numFmtId="175" fontId="27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27" fillId="50" borderId="10" xfId="0" applyNumberFormat="1" applyFont="1" applyFill="1" applyBorder="1" applyAlignment="1">
      <alignment horizontal="center" vertical="center"/>
    </xf>
    <xf numFmtId="175" fontId="7" fillId="50" borderId="25" xfId="0" applyNumberFormat="1" applyFont="1" applyFill="1" applyBorder="1" applyAlignment="1">
      <alignment horizontal="center" vertical="center"/>
    </xf>
    <xf numFmtId="175" fontId="10" fillId="50" borderId="37" xfId="0" applyNumberFormat="1" applyFont="1" applyFill="1" applyBorder="1" applyAlignment="1" applyProtection="1">
      <alignment horizontal="center" vertical="center"/>
      <protection locked="0"/>
    </xf>
    <xf numFmtId="175" fontId="7" fillId="50" borderId="37" xfId="0" applyNumberFormat="1" applyFont="1" applyFill="1" applyBorder="1" applyAlignment="1">
      <alignment horizontal="center" vertical="center"/>
    </xf>
    <xf numFmtId="175" fontId="7" fillId="50" borderId="76" xfId="0" applyNumberFormat="1" applyFont="1" applyFill="1" applyBorder="1" applyAlignment="1">
      <alignment horizontal="center" vertical="center"/>
    </xf>
    <xf numFmtId="175" fontId="16" fillId="50" borderId="22" xfId="0" applyNumberFormat="1" applyFont="1" applyFill="1" applyBorder="1" applyAlignment="1">
      <alignment horizontal="center"/>
    </xf>
    <xf numFmtId="175" fontId="16" fillId="50" borderId="44" xfId="0" applyNumberFormat="1" applyFont="1" applyFill="1" applyBorder="1" applyAlignment="1">
      <alignment horizontal="center"/>
    </xf>
    <xf numFmtId="175" fontId="18" fillId="50" borderId="56" xfId="0" applyNumberFormat="1" applyFont="1" applyFill="1" applyBorder="1" applyAlignment="1">
      <alignment horizontal="center"/>
    </xf>
    <xf numFmtId="175" fontId="18" fillId="50" borderId="84" xfId="0" applyNumberFormat="1" applyFont="1" applyFill="1" applyBorder="1" applyAlignment="1">
      <alignment horizontal="center"/>
    </xf>
    <xf numFmtId="175" fontId="18" fillId="50" borderId="74" xfId="0" applyNumberFormat="1" applyFont="1" applyFill="1" applyBorder="1" applyAlignment="1">
      <alignment horizontal="center"/>
    </xf>
    <xf numFmtId="49" fontId="62" fillId="50" borderId="23" xfId="0" applyNumberFormat="1" applyFont="1" applyFill="1" applyBorder="1" applyAlignment="1">
      <alignment horizontal="center" vertical="center" wrapText="1"/>
    </xf>
    <xf numFmtId="49" fontId="1" fillId="40" borderId="53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56" xfId="0" applyNumberFormat="1" applyFont="1" applyFill="1" applyBorder="1" applyAlignment="1" applyProtection="1">
      <alignment horizontal="center" vertical="center"/>
      <protection locked="0"/>
    </xf>
    <xf numFmtId="0" fontId="1" fillId="4" borderId="79" xfId="0" applyNumberFormat="1" applyFont="1" applyFill="1" applyBorder="1" applyAlignment="1" applyProtection="1">
      <alignment wrapText="1" readingOrder="1"/>
      <protection locked="0"/>
    </xf>
    <xf numFmtId="0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9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6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6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2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79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9" xfId="0" applyNumberFormat="1" applyFont="1" applyFill="1" applyBorder="1" applyAlignment="1" applyProtection="1">
      <alignment horizontal="center" vertical="center"/>
      <protection locked="0"/>
    </xf>
    <xf numFmtId="175" fontId="6" fillId="41" borderId="79" xfId="0" applyNumberFormat="1" applyFont="1" applyFill="1" applyBorder="1" applyAlignment="1">
      <alignment horizontal="center" vertical="center"/>
    </xf>
    <xf numFmtId="49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25" xfId="0" applyNumberFormat="1" applyFont="1" applyBorder="1" applyAlignment="1">
      <alignment horizontal="center" vertical="center" wrapText="1"/>
    </xf>
    <xf numFmtId="0" fontId="1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49" fontId="7" fillId="0" borderId="7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7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wrapText="1" readingOrder="1"/>
      <protection locked="0"/>
    </xf>
    <xf numFmtId="0" fontId="27" fillId="50" borderId="11" xfId="0" applyNumberFormat="1" applyFont="1" applyFill="1" applyBorder="1" applyAlignment="1" applyProtection="1">
      <alignment vertical="center" wrapText="1"/>
      <protection locked="0"/>
    </xf>
    <xf numFmtId="49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horizontal="left" wrapText="1" readingOrder="1"/>
      <protection locked="0"/>
    </xf>
    <xf numFmtId="0" fontId="27" fillId="5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wrapText="1" readingOrder="1"/>
      <protection locked="0"/>
    </xf>
    <xf numFmtId="49" fontId="2" fillId="49" borderId="49" xfId="0" applyNumberFormat="1" applyFont="1" applyFill="1" applyBorder="1" applyAlignment="1" applyProtection="1">
      <alignment horizontal="center" vertical="center"/>
      <protection locked="0"/>
    </xf>
    <xf numFmtId="175" fontId="14" fillId="50" borderId="26" xfId="0" applyNumberFormat="1" applyFont="1" applyFill="1" applyBorder="1" applyAlignment="1" applyProtection="1">
      <alignment horizontal="center"/>
      <protection locked="0"/>
    </xf>
    <xf numFmtId="175" fontId="14" fillId="50" borderId="63" xfId="0" applyNumberFormat="1" applyFont="1" applyFill="1" applyBorder="1" applyAlignment="1" applyProtection="1">
      <alignment horizontal="center"/>
      <protection locked="0"/>
    </xf>
    <xf numFmtId="49" fontId="13" fillId="50" borderId="51" xfId="0" applyNumberFormat="1" applyFont="1" applyFill="1" applyBorder="1" applyAlignment="1">
      <alignment horizontal="center"/>
    </xf>
    <xf numFmtId="0" fontId="13" fillId="50" borderId="63" xfId="0" applyFont="1" applyFill="1" applyBorder="1" applyAlignment="1">
      <alignment horizontal="center"/>
    </xf>
    <xf numFmtId="0" fontId="13" fillId="50" borderId="88" xfId="0" applyFont="1" applyFill="1" applyBorder="1" applyAlignment="1">
      <alignment horizontal="center"/>
    </xf>
    <xf numFmtId="49" fontId="16" fillId="0" borderId="72" xfId="0" applyNumberFormat="1" applyFont="1" applyBorder="1" applyAlignment="1">
      <alignment horizontal="center" wrapText="1"/>
    </xf>
    <xf numFmtId="0" fontId="55" fillId="0" borderId="0" xfId="0" applyFont="1" applyAlignment="1">
      <alignment horizontal="right"/>
    </xf>
    <xf numFmtId="0" fontId="19" fillId="0" borderId="79" xfId="0" applyFont="1" applyBorder="1" applyAlignment="1">
      <alignment vertical="top" wrapText="1"/>
    </xf>
    <xf numFmtId="49" fontId="31" fillId="38" borderId="14" xfId="0" applyNumberFormat="1" applyFont="1" applyFill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49" fontId="30" fillId="38" borderId="14" xfId="0" applyNumberFormat="1" applyFont="1" applyFill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49" fontId="30" fillId="38" borderId="20" xfId="0" applyNumberFormat="1" applyFont="1" applyFill="1" applyBorder="1" applyAlignment="1">
      <alignment horizontal="justify" vertical="justify" wrapText="1"/>
    </xf>
    <xf numFmtId="49" fontId="31" fillId="38" borderId="20" xfId="0" applyNumberFormat="1" applyFont="1" applyFill="1" applyBorder="1" applyAlignment="1">
      <alignment horizontal="justify" vertical="justify" wrapText="1"/>
    </xf>
    <xf numFmtId="49" fontId="34" fillId="38" borderId="20" xfId="0" applyNumberFormat="1" applyFont="1" applyFill="1" applyBorder="1" applyAlignment="1">
      <alignment horizontal="justify" vertical="justify" wrapText="1"/>
    </xf>
    <xf numFmtId="0" fontId="14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0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49" fontId="10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13" fillId="0" borderId="36" xfId="0" applyFont="1" applyBorder="1" applyAlignment="1">
      <alignment horizontal="center" vertical="top" wrapText="1"/>
    </xf>
    <xf numFmtId="49" fontId="13" fillId="0" borderId="38" xfId="0" applyNumberFormat="1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top" wrapText="1"/>
    </xf>
    <xf numFmtId="0" fontId="23" fillId="36" borderId="19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5" fontId="37" fillId="0" borderId="21" xfId="0" applyNumberFormat="1" applyFont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75" fontId="4" fillId="34" borderId="19" xfId="0" applyNumberFormat="1" applyFont="1" applyFill="1" applyBorder="1" applyAlignment="1">
      <alignment horizontal="center" vertical="center"/>
    </xf>
    <xf numFmtId="175" fontId="23" fillId="36" borderId="52" xfId="0" applyNumberFormat="1" applyFont="1" applyFill="1" applyBorder="1" applyAlignment="1">
      <alignment horizontal="center" vertical="center" wrapText="1"/>
    </xf>
    <xf numFmtId="175" fontId="23" fillId="0" borderId="20" xfId="0" applyNumberFormat="1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175" fontId="45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175" fontId="17" fillId="34" borderId="44" xfId="0" applyNumberFormat="1" applyFont="1" applyFill="1" applyBorder="1" applyAlignment="1">
      <alignment horizontal="center" vertical="center" wrapText="1"/>
    </xf>
    <xf numFmtId="175" fontId="17" fillId="34" borderId="13" xfId="0" applyNumberFormat="1" applyFont="1" applyFill="1" applyBorder="1" applyAlignment="1">
      <alignment horizontal="center" vertical="center" wrapText="1"/>
    </xf>
    <xf numFmtId="181" fontId="0" fillId="0" borderId="11" xfId="60" applyNumberFormat="1" applyFont="1" applyBorder="1" applyAlignment="1">
      <alignment horizontal="center" vertical="center"/>
    </xf>
    <xf numFmtId="181" fontId="26" fillId="0" borderId="11" xfId="60" applyNumberFormat="1" applyFont="1" applyBorder="1" applyAlignment="1">
      <alignment horizontal="center" vertical="center"/>
    </xf>
    <xf numFmtId="175" fontId="26" fillId="0" borderId="34" xfId="0" applyNumberFormat="1" applyFont="1" applyBorder="1" applyAlignment="1">
      <alignment horizontal="center" vertical="center"/>
    </xf>
    <xf numFmtId="175" fontId="26" fillId="0" borderId="12" xfId="0" applyNumberFormat="1" applyFont="1" applyBorder="1" applyAlignment="1">
      <alignment horizontal="center" vertical="center"/>
    </xf>
    <xf numFmtId="175" fontId="26" fillId="0" borderId="21" xfId="0" applyNumberFormat="1" applyFont="1" applyBorder="1" applyAlignment="1">
      <alignment horizontal="center" vertical="center"/>
    </xf>
    <xf numFmtId="175" fontId="26" fillId="0" borderId="62" xfId="0" applyNumberFormat="1" applyFont="1" applyBorder="1" applyAlignment="1">
      <alignment horizontal="center" vertical="center"/>
    </xf>
    <xf numFmtId="175" fontId="26" fillId="0" borderId="50" xfId="0" applyNumberFormat="1" applyFont="1" applyBorder="1" applyAlignment="1">
      <alignment horizontal="center" vertical="center"/>
    </xf>
    <xf numFmtId="175" fontId="26" fillId="0" borderId="83" xfId="0" applyNumberFormat="1" applyFont="1" applyBorder="1" applyAlignment="1">
      <alignment horizontal="center" vertical="center"/>
    </xf>
    <xf numFmtId="175" fontId="52" fillId="0" borderId="56" xfId="0" applyNumberFormat="1" applyFont="1" applyBorder="1" applyAlignment="1">
      <alignment horizontal="center" vertical="center" wrapText="1"/>
    </xf>
    <xf numFmtId="175" fontId="37" fillId="0" borderId="18" xfId="0" applyNumberFormat="1" applyFont="1" applyBorder="1" applyAlignment="1">
      <alignment horizontal="center" vertical="center"/>
    </xf>
    <xf numFmtId="175" fontId="37" fillId="0" borderId="11" xfId="0" applyNumberFormat="1" applyFont="1" applyBorder="1" applyAlignment="1">
      <alignment horizontal="center" vertical="center"/>
    </xf>
    <xf numFmtId="175" fontId="37" fillId="0" borderId="20" xfId="0" applyNumberFormat="1" applyFont="1" applyBorder="1" applyAlignment="1">
      <alignment horizontal="center" vertical="center"/>
    </xf>
    <xf numFmtId="181" fontId="37" fillId="0" borderId="11" xfId="60" applyNumberFormat="1" applyFont="1" applyBorder="1" applyAlignment="1">
      <alignment horizontal="center" vertical="center"/>
    </xf>
    <xf numFmtId="175" fontId="56" fillId="37" borderId="22" xfId="0" applyNumberFormat="1" applyFont="1" applyFill="1" applyBorder="1" applyAlignment="1">
      <alignment horizontal="center" vertical="center" wrapText="1"/>
    </xf>
    <xf numFmtId="175" fontId="23" fillId="36" borderId="22" xfId="0" applyNumberFormat="1" applyFont="1" applyFill="1" applyBorder="1" applyAlignment="1">
      <alignment horizontal="center" vertical="center" wrapText="1"/>
    </xf>
    <xf numFmtId="175" fontId="26" fillId="0" borderId="18" xfId="0" applyNumberFormat="1" applyFont="1" applyBorder="1" applyAlignment="1">
      <alignment horizontal="center" vertical="center"/>
    </xf>
    <xf numFmtId="175" fontId="26" fillId="0" borderId="11" xfId="0" applyNumberFormat="1" applyFont="1" applyBorder="1" applyAlignment="1">
      <alignment horizontal="center" vertical="center"/>
    </xf>
    <xf numFmtId="175" fontId="26" fillId="0" borderId="20" xfId="0" applyNumberFormat="1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75" fontId="23" fillId="36" borderId="61" xfId="0" applyNumberFormat="1" applyFont="1" applyFill="1" applyBorder="1" applyAlignment="1">
      <alignment horizontal="center" vertical="center" wrapText="1"/>
    </xf>
    <xf numFmtId="175" fontId="23" fillId="36" borderId="23" xfId="0" applyNumberFormat="1" applyFont="1" applyFill="1" applyBorder="1" applyAlignment="1">
      <alignment horizontal="center" vertical="center" wrapText="1"/>
    </xf>
    <xf numFmtId="175" fontId="23" fillId="36" borderId="19" xfId="0" applyNumberFormat="1" applyFont="1" applyFill="1" applyBorder="1" applyAlignment="1">
      <alignment horizontal="center" vertical="center" wrapText="1"/>
    </xf>
    <xf numFmtId="175" fontId="23" fillId="36" borderId="63" xfId="0" applyNumberFormat="1" applyFont="1" applyFill="1" applyBorder="1" applyAlignment="1">
      <alignment horizontal="center" vertical="center" wrapText="1"/>
    </xf>
    <xf numFmtId="175" fontId="23" fillId="36" borderId="44" xfId="0" applyNumberFormat="1" applyFont="1" applyFill="1" applyBorder="1" applyAlignment="1">
      <alignment horizontal="center" vertical="center" wrapText="1"/>
    </xf>
    <xf numFmtId="175" fontId="23" fillId="36" borderId="13" xfId="0" applyNumberFormat="1" applyFont="1" applyFill="1" applyBorder="1" applyAlignment="1">
      <alignment horizontal="center" vertical="center" wrapText="1"/>
    </xf>
    <xf numFmtId="175" fontId="23" fillId="37" borderId="55" xfId="0" applyNumberFormat="1" applyFont="1" applyFill="1" applyBorder="1" applyAlignment="1">
      <alignment horizontal="center" vertical="center" wrapText="1"/>
    </xf>
    <xf numFmtId="0" fontId="29" fillId="37" borderId="6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181" fontId="43" fillId="0" borderId="11" xfId="60" applyNumberFormat="1" applyFont="1" applyBorder="1" applyAlignment="1">
      <alignment horizontal="center" vertical="center"/>
    </xf>
    <xf numFmtId="175" fontId="43" fillId="0" borderId="11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75" fontId="26" fillId="0" borderId="35" xfId="0" applyNumberFormat="1" applyFont="1" applyBorder="1" applyAlignment="1">
      <alignment horizontal="center" vertical="center"/>
    </xf>
    <xf numFmtId="175" fontId="26" fillId="0" borderId="33" xfId="0" applyNumberFormat="1" applyFont="1" applyBorder="1" applyAlignment="1">
      <alignment horizontal="center" vertical="center"/>
    </xf>
    <xf numFmtId="175" fontId="26" fillId="0" borderId="73" xfId="0" applyNumberFormat="1" applyFont="1" applyBorder="1" applyAlignment="1">
      <alignment horizontal="center" vertical="center"/>
    </xf>
    <xf numFmtId="175" fontId="52" fillId="0" borderId="78" xfId="0" applyNumberFormat="1" applyFont="1" applyBorder="1" applyAlignment="1">
      <alignment horizontal="center" vertical="center" wrapText="1"/>
    </xf>
    <xf numFmtId="175" fontId="52" fillId="0" borderId="56" xfId="0" applyNumberFormat="1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175" fontId="26" fillId="0" borderId="18" xfId="0" applyNumberFormat="1" applyFont="1" applyBorder="1" applyAlignment="1">
      <alignment horizontal="center" vertical="center"/>
    </xf>
    <xf numFmtId="175" fontId="26" fillId="0" borderId="11" xfId="0" applyNumberFormat="1" applyFont="1" applyBorder="1" applyAlignment="1">
      <alignment horizontal="center" vertical="center"/>
    </xf>
    <xf numFmtId="175" fontId="26" fillId="0" borderId="20" xfId="0" applyNumberFormat="1" applyFont="1" applyBorder="1" applyAlignment="1">
      <alignment horizontal="center" vertical="center"/>
    </xf>
    <xf numFmtId="175" fontId="52" fillId="0" borderId="18" xfId="0" applyNumberFormat="1" applyFont="1" applyBorder="1" applyAlignment="1">
      <alignment horizontal="center" vertical="center" wrapText="1"/>
    </xf>
    <xf numFmtId="175" fontId="52" fillId="0" borderId="11" xfId="0" applyNumberFormat="1" applyFont="1" applyBorder="1" applyAlignment="1">
      <alignment horizontal="center" vertical="center" wrapText="1"/>
    </xf>
    <xf numFmtId="175" fontId="52" fillId="0" borderId="20" xfId="0" applyNumberFormat="1" applyFont="1" applyBorder="1" applyAlignment="1">
      <alignment horizontal="center" vertical="center" wrapText="1"/>
    </xf>
    <xf numFmtId="175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175" fontId="37" fillId="0" borderId="18" xfId="0" applyNumberFormat="1" applyFont="1" applyBorder="1" applyAlignment="1">
      <alignment horizontal="center" vertical="center"/>
    </xf>
    <xf numFmtId="175" fontId="37" fillId="0" borderId="11" xfId="0" applyNumberFormat="1" applyFont="1" applyBorder="1" applyAlignment="1">
      <alignment horizontal="center" vertical="center"/>
    </xf>
    <xf numFmtId="175" fontId="37" fillId="0" borderId="20" xfId="0" applyNumberFormat="1" applyFont="1" applyBorder="1" applyAlignment="1">
      <alignment horizontal="center" vertical="center"/>
    </xf>
    <xf numFmtId="175" fontId="38" fillId="0" borderId="18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175" fontId="45" fillId="0" borderId="10" xfId="0" applyNumberFormat="1" applyFont="1" applyBorder="1" applyAlignment="1" applyProtection="1">
      <alignment horizontal="center" vertical="center" wrapText="1"/>
      <protection locked="0"/>
    </xf>
    <xf numFmtId="175" fontId="63" fillId="0" borderId="55" xfId="0" applyNumberFormat="1" applyFont="1" applyBorder="1" applyAlignment="1">
      <alignment horizontal="center" vertical="center" wrapText="1"/>
    </xf>
    <xf numFmtId="175" fontId="63" fillId="0" borderId="10" xfId="0" applyNumberFormat="1" applyFont="1" applyBorder="1" applyAlignment="1" applyProtection="1">
      <alignment horizontal="center" vertical="center" wrapText="1"/>
      <protection locked="0"/>
    </xf>
    <xf numFmtId="175" fontId="63" fillId="0" borderId="10" xfId="0" applyNumberFormat="1" applyFont="1" applyBorder="1" applyAlignment="1">
      <alignment horizontal="center" vertical="center" wrapText="1"/>
    </xf>
    <xf numFmtId="175" fontId="37" fillId="0" borderId="34" xfId="0" applyNumberFormat="1" applyFont="1" applyBorder="1" applyAlignment="1">
      <alignment horizontal="center" vertical="center"/>
    </xf>
    <xf numFmtId="175" fontId="37" fillId="0" borderId="12" xfId="0" applyNumberFormat="1" applyFont="1" applyBorder="1" applyAlignment="1">
      <alignment horizontal="center" vertical="center"/>
    </xf>
    <xf numFmtId="175" fontId="37" fillId="0" borderId="21" xfId="0" applyNumberFormat="1" applyFont="1" applyBorder="1" applyAlignment="1">
      <alignment horizontal="center" vertical="center"/>
    </xf>
    <xf numFmtId="175" fontId="38" fillId="0" borderId="64" xfId="0" applyNumberFormat="1" applyFont="1" applyBorder="1" applyAlignment="1">
      <alignment horizontal="center" vertical="center" wrapText="1"/>
    </xf>
    <xf numFmtId="175" fontId="4" fillId="53" borderId="11" xfId="0" applyNumberFormat="1" applyFont="1" applyFill="1" applyBorder="1" applyAlignment="1">
      <alignment horizontal="center" vertical="center"/>
    </xf>
    <xf numFmtId="181" fontId="4" fillId="53" borderId="11" xfId="60" applyNumberFormat="1" applyFont="1" applyFill="1" applyBorder="1" applyAlignment="1">
      <alignment horizontal="center" vertical="center"/>
    </xf>
    <xf numFmtId="175" fontId="6" fillId="26" borderId="11" xfId="0" applyNumberFormat="1" applyFont="1" applyFill="1" applyBorder="1" applyAlignment="1">
      <alignment horizontal="center" vertical="center"/>
    </xf>
    <xf numFmtId="181" fontId="6" fillId="26" borderId="11" xfId="60" applyNumberFormat="1" applyFont="1" applyFill="1" applyBorder="1" applyAlignment="1">
      <alignment horizontal="center" vertical="center"/>
    </xf>
    <xf numFmtId="175" fontId="6" fillId="54" borderId="11" xfId="0" applyNumberFormat="1" applyFont="1" applyFill="1" applyBorder="1" applyAlignment="1">
      <alignment horizontal="center" vertical="center"/>
    </xf>
    <xf numFmtId="181" fontId="6" fillId="54" borderId="11" xfId="6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/>
    </xf>
    <xf numFmtId="175" fontId="1" fillId="31" borderId="13" xfId="0" applyNumberFormat="1" applyFont="1" applyFill="1" applyBorder="1" applyAlignment="1" applyProtection="1">
      <alignment horizontal="center"/>
      <protection locked="0"/>
    </xf>
    <xf numFmtId="175" fontId="1" fillId="52" borderId="24" xfId="0" applyNumberFormat="1" applyFont="1" applyFill="1" applyBorder="1" applyAlignment="1" applyProtection="1">
      <alignment horizontal="center"/>
      <protection locked="0"/>
    </xf>
    <xf numFmtId="0" fontId="12" fillId="50" borderId="25" xfId="0" applyNumberFormat="1" applyFont="1" applyFill="1" applyBorder="1" applyAlignment="1" applyProtection="1">
      <alignment horizontal="center" vertical="center"/>
      <protection locked="0"/>
    </xf>
    <xf numFmtId="0" fontId="12" fillId="50" borderId="53" xfId="0" applyNumberFormat="1" applyFont="1" applyFill="1" applyBorder="1" applyAlignment="1" applyProtection="1">
      <alignment horizontal="center" vertical="center"/>
      <protection locked="0"/>
    </xf>
    <xf numFmtId="175" fontId="1" fillId="31" borderId="13" xfId="0" applyNumberFormat="1" applyFont="1" applyFill="1" applyBorder="1" applyAlignment="1" applyProtection="1">
      <alignment horizontal="center" vertical="center"/>
      <protection locked="0"/>
    </xf>
    <xf numFmtId="175" fontId="1" fillId="49" borderId="24" xfId="0" applyNumberFormat="1" applyFont="1" applyFill="1" applyBorder="1" applyAlignment="1" applyProtection="1">
      <alignment horizontal="center" vertical="center"/>
      <protection locked="0"/>
    </xf>
    <xf numFmtId="175" fontId="1" fillId="52" borderId="25" xfId="0" applyNumberFormat="1" applyFont="1" applyFill="1" applyBorder="1" applyAlignment="1" applyProtection="1">
      <alignment horizontal="center" vertical="center"/>
      <protection locked="0"/>
    </xf>
    <xf numFmtId="175" fontId="1" fillId="0" borderId="25" xfId="0" applyNumberFormat="1" applyFont="1" applyFill="1" applyBorder="1" applyAlignment="1" applyProtection="1">
      <alignment horizontal="center" vertical="center"/>
      <protection locked="0"/>
    </xf>
    <xf numFmtId="175" fontId="7" fillId="0" borderId="25" xfId="0" applyNumberFormat="1" applyFont="1" applyFill="1" applyBorder="1" applyAlignment="1" applyProtection="1">
      <alignment horizontal="center" vertical="center"/>
      <protection locked="0"/>
    </xf>
    <xf numFmtId="175" fontId="0" fillId="0" borderId="25" xfId="0" applyNumberFormat="1" applyFont="1" applyFill="1" applyBorder="1" applyAlignment="1" applyProtection="1">
      <alignment horizontal="center" vertical="center"/>
      <protection locked="0"/>
    </xf>
    <xf numFmtId="175" fontId="10" fillId="0" borderId="25" xfId="0" applyNumberFormat="1" applyFont="1" applyFill="1" applyBorder="1" applyAlignment="1" applyProtection="1">
      <alignment horizontal="center" vertical="center"/>
      <protection locked="0"/>
    </xf>
    <xf numFmtId="175" fontId="10" fillId="0" borderId="25" xfId="0" applyNumberFormat="1" applyFont="1" applyFill="1" applyBorder="1" applyAlignment="1" applyProtection="1">
      <alignment horizontal="center" vertical="center"/>
      <protection locked="0"/>
    </xf>
    <xf numFmtId="175" fontId="7" fillId="0" borderId="25" xfId="0" applyNumberFormat="1" applyFont="1" applyFill="1" applyBorder="1" applyAlignment="1" applyProtection="1">
      <alignment horizontal="center" vertical="center"/>
      <protection locked="0"/>
    </xf>
    <xf numFmtId="175" fontId="1" fillId="51" borderId="25" xfId="0" applyNumberFormat="1" applyFont="1" applyFill="1" applyBorder="1" applyAlignment="1" applyProtection="1">
      <alignment horizontal="center" vertical="center"/>
      <protection locked="0"/>
    </xf>
    <xf numFmtId="175" fontId="1" fillId="52" borderId="25" xfId="0" applyNumberFormat="1" applyFont="1" applyFill="1" applyBorder="1" applyAlignment="1">
      <alignment horizontal="center" vertical="center" wrapText="1"/>
    </xf>
    <xf numFmtId="175" fontId="7" fillId="0" borderId="53" xfId="0" applyNumberFormat="1" applyFont="1" applyFill="1" applyBorder="1" applyAlignment="1" applyProtection="1">
      <alignment horizontal="center" vertical="center"/>
      <protection locked="0"/>
    </xf>
    <xf numFmtId="175" fontId="1" fillId="31" borderId="13" xfId="0" applyNumberFormat="1" applyFont="1" applyFill="1" applyBorder="1" applyAlignment="1" applyProtection="1">
      <alignment horizontal="center" vertical="center"/>
      <protection locked="0"/>
    </xf>
    <xf numFmtId="175" fontId="1" fillId="49" borderId="25" xfId="0" applyNumberFormat="1" applyFont="1" applyFill="1" applyBorder="1" applyAlignment="1" applyProtection="1">
      <alignment horizontal="center" vertical="center"/>
      <protection locked="0"/>
    </xf>
    <xf numFmtId="175" fontId="2" fillId="0" borderId="25" xfId="0" applyNumberFormat="1" applyFont="1" applyFill="1" applyBorder="1" applyAlignment="1" applyProtection="1">
      <alignment horizontal="center" vertical="center"/>
      <protection locked="0"/>
    </xf>
    <xf numFmtId="175" fontId="1" fillId="45" borderId="25" xfId="0" applyNumberFormat="1" applyFont="1" applyFill="1" applyBorder="1" applyAlignment="1" applyProtection="1">
      <alignment horizontal="center" vertical="center"/>
      <protection locked="0"/>
    </xf>
    <xf numFmtId="175" fontId="1" fillId="0" borderId="25" xfId="0" applyNumberFormat="1" applyFont="1" applyFill="1" applyBorder="1" applyAlignment="1" applyProtection="1">
      <alignment horizontal="center" vertical="center"/>
      <protection locked="0"/>
    </xf>
    <xf numFmtId="175" fontId="2" fillId="0" borderId="25" xfId="0" applyNumberFormat="1" applyFont="1" applyFill="1" applyBorder="1" applyAlignment="1" applyProtection="1">
      <alignment horizontal="center" vertical="center"/>
      <protection locked="0"/>
    </xf>
    <xf numFmtId="175" fontId="6" fillId="0" borderId="25" xfId="0" applyNumberFormat="1" applyFont="1" applyFill="1" applyBorder="1" applyAlignment="1" applyProtection="1">
      <alignment horizontal="center" vertical="center"/>
      <protection locked="0"/>
    </xf>
    <xf numFmtId="175" fontId="6" fillId="43" borderId="25" xfId="0" applyNumberFormat="1" applyFont="1" applyFill="1" applyBorder="1" applyAlignment="1" applyProtection="1">
      <alignment horizontal="center" vertical="center"/>
      <protection locked="0"/>
    </xf>
    <xf numFmtId="175" fontId="1" fillId="49" borderId="25" xfId="0" applyNumberFormat="1" applyFont="1" applyFill="1" applyBorder="1" applyAlignment="1" applyProtection="1">
      <alignment horizontal="center" vertical="center"/>
      <protection locked="0"/>
    </xf>
    <xf numFmtId="175" fontId="7" fillId="0" borderId="87" xfId="0" applyNumberFormat="1" applyFont="1" applyFill="1" applyBorder="1" applyAlignment="1" applyProtection="1">
      <alignment horizontal="center" vertical="center"/>
      <protection locked="0"/>
    </xf>
    <xf numFmtId="175" fontId="1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Border="1" applyAlignment="1">
      <alignment horizontal="center" vertical="center"/>
    </xf>
    <xf numFmtId="0" fontId="1" fillId="0" borderId="56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5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20" xfId="0" applyNumberFormat="1" applyFont="1" applyFill="1" applyBorder="1" applyAlignment="1" applyProtection="1">
      <alignment horizontal="center" vertical="center" wrapText="1"/>
      <protection locked="0"/>
    </xf>
    <xf numFmtId="175" fontId="1" fillId="55" borderId="25" xfId="0" applyNumberFormat="1" applyFont="1" applyFill="1" applyBorder="1" applyAlignment="1" applyProtection="1">
      <alignment horizontal="center" vertical="center"/>
      <protection locked="0"/>
    </xf>
    <xf numFmtId="0" fontId="1" fillId="55" borderId="10" xfId="0" applyNumberFormat="1" applyFont="1" applyFill="1" applyBorder="1" applyAlignment="1" applyProtection="1">
      <alignment wrapText="1" readingOrder="1"/>
      <protection locked="0"/>
    </xf>
    <xf numFmtId="0" fontId="1" fillId="55" borderId="10" xfId="0" applyNumberFormat="1" applyFont="1" applyFill="1" applyBorder="1" applyAlignment="1" applyProtection="1">
      <alignment vertical="center" wrapText="1"/>
      <protection locked="0"/>
    </xf>
    <xf numFmtId="49" fontId="1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1" xfId="0" applyNumberFormat="1" applyFont="1" applyFill="1" applyBorder="1" applyAlignment="1" applyProtection="1">
      <alignment horizontal="center" vertical="center"/>
      <protection locked="0"/>
    </xf>
    <xf numFmtId="0" fontId="1" fillId="55" borderId="20" xfId="0" applyNumberFormat="1" applyFont="1" applyFill="1" applyBorder="1" applyAlignment="1" applyProtection="1">
      <alignment horizontal="center" vertical="center"/>
      <protection locked="0"/>
    </xf>
    <xf numFmtId="0" fontId="0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5" borderId="20" xfId="0" applyNumberFormat="1" applyFont="1" applyFill="1" applyBorder="1" applyAlignment="1" applyProtection="1">
      <alignment horizontal="center" vertical="center"/>
      <protection locked="0"/>
    </xf>
    <xf numFmtId="0" fontId="1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55" borderId="10" xfId="0" applyNumberFormat="1" applyFont="1" applyFill="1" applyBorder="1" applyAlignment="1" applyProtection="1">
      <alignment vertical="center" wrapText="1"/>
      <protection locked="0"/>
    </xf>
    <xf numFmtId="0" fontId="1" fillId="5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20" xfId="0" applyNumberFormat="1" applyFont="1" applyFill="1" applyBorder="1" applyAlignment="1" applyProtection="1">
      <alignment horizontal="center" vertical="center"/>
      <protection locked="0"/>
    </xf>
    <xf numFmtId="175" fontId="1" fillId="55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2" xfId="0" applyNumberFormat="1" applyFont="1" applyFill="1" applyBorder="1" applyAlignment="1" applyProtection="1">
      <alignment horizontal="center" vertical="center"/>
      <protection locked="0"/>
    </xf>
    <xf numFmtId="175" fontId="1" fillId="0" borderId="22" xfId="0" applyNumberFormat="1" applyFont="1" applyFill="1" applyBorder="1" applyAlignment="1" applyProtection="1">
      <alignment horizontal="center" vertical="center"/>
      <protection locked="0"/>
    </xf>
    <xf numFmtId="175" fontId="1" fillId="55" borderId="22" xfId="0" applyNumberFormat="1" applyFont="1" applyFill="1" applyBorder="1" applyAlignment="1" applyProtection="1">
      <alignment horizontal="center" vertical="center"/>
      <protection locked="0"/>
    </xf>
    <xf numFmtId="175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left" vertical="center" wrapText="1"/>
    </xf>
    <xf numFmtId="175" fontId="1" fillId="0" borderId="27" xfId="0" applyNumberFormat="1" applyFont="1" applyFill="1" applyBorder="1" applyAlignment="1">
      <alignment horizontal="center" vertical="center"/>
    </xf>
    <xf numFmtId="175" fontId="1" fillId="0" borderId="56" xfId="0" applyNumberFormat="1" applyFont="1" applyFill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top" wrapText="1"/>
    </xf>
    <xf numFmtId="49" fontId="13" fillId="0" borderId="56" xfId="0" applyNumberFormat="1" applyFont="1" applyFill="1" applyBorder="1" applyAlignment="1">
      <alignment horizontal="justify" vertical="justify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justify" vertical="justify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justify" vertical="justify" wrapText="1"/>
    </xf>
    <xf numFmtId="49" fontId="31" fillId="0" borderId="37" xfId="0" applyNumberFormat="1" applyFont="1" applyFill="1" applyBorder="1" applyAlignment="1">
      <alignment horizontal="center" vertical="top" wrapText="1"/>
    </xf>
    <xf numFmtId="49" fontId="31" fillId="0" borderId="37" xfId="0" applyNumberFormat="1" applyFont="1" applyFill="1" applyBorder="1" applyAlignment="1">
      <alignment horizontal="justify" vertical="justify" wrapText="1"/>
    </xf>
    <xf numFmtId="175" fontId="0" fillId="0" borderId="37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75" fontId="0" fillId="0" borderId="37" xfId="0" applyNumberFormat="1" applyFont="1" applyBorder="1" applyAlignment="1">
      <alignment horizontal="center" vertical="center"/>
    </xf>
    <xf numFmtId="175" fontId="0" fillId="0" borderId="37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75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9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51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8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top"/>
    </xf>
    <xf numFmtId="49" fontId="15" fillId="0" borderId="5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4" fillId="0" borderId="45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right"/>
    </xf>
    <xf numFmtId="17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39" fillId="0" borderId="51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14" fillId="0" borderId="8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33" fillId="0" borderId="14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5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4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49" fontId="16" fillId="0" borderId="70" xfId="0" applyNumberFormat="1" applyFont="1" applyBorder="1" applyAlignment="1">
      <alignment horizontal="center" vertical="center" wrapText="1"/>
    </xf>
    <xf numFmtId="49" fontId="16" fillId="0" borderId="77" xfId="0" applyNumberFormat="1" applyFont="1" applyBorder="1" applyAlignment="1">
      <alignment horizontal="center" vertical="center" wrapText="1"/>
    </xf>
    <xf numFmtId="49" fontId="14" fillId="50" borderId="45" xfId="0" applyNumberFormat="1" applyFont="1" applyFill="1" applyBorder="1" applyAlignment="1">
      <alignment horizontal="center" vertical="center"/>
    </xf>
    <xf numFmtId="49" fontId="14" fillId="50" borderId="68" xfId="0" applyNumberFormat="1" applyFont="1" applyFill="1" applyBorder="1" applyAlignment="1">
      <alignment horizontal="center" vertical="center"/>
    </xf>
    <xf numFmtId="49" fontId="14" fillId="50" borderId="38" xfId="0" applyNumberFormat="1" applyFont="1" applyFill="1" applyBorder="1" applyAlignment="1">
      <alignment horizontal="center" vertical="center"/>
    </xf>
    <xf numFmtId="49" fontId="14" fillId="50" borderId="47" xfId="0" applyNumberFormat="1" applyFont="1" applyFill="1" applyBorder="1" applyAlignment="1">
      <alignment horizontal="center" vertical="center"/>
    </xf>
    <xf numFmtId="0" fontId="14" fillId="50" borderId="15" xfId="0" applyFont="1" applyFill="1" applyBorder="1" applyAlignment="1">
      <alignment horizontal="left" vertical="top" wrapText="1"/>
    </xf>
    <xf numFmtId="0" fontId="14" fillId="50" borderId="23" xfId="0" applyFont="1" applyFill="1" applyBorder="1" applyAlignment="1">
      <alignment horizontal="left" vertical="top" wrapText="1"/>
    </xf>
    <xf numFmtId="0" fontId="14" fillId="50" borderId="19" xfId="0" applyFont="1" applyFill="1" applyBorder="1" applyAlignment="1">
      <alignment horizontal="left" vertical="top" wrapText="1"/>
    </xf>
    <xf numFmtId="0" fontId="14" fillId="50" borderId="26" xfId="0" applyFont="1" applyFill="1" applyBorder="1" applyAlignment="1">
      <alignment horizontal="left" vertical="top" wrapText="1"/>
    </xf>
    <xf numFmtId="0" fontId="14" fillId="50" borderId="51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horizontal="left" vertical="top" wrapText="1"/>
    </xf>
    <xf numFmtId="0" fontId="12" fillId="50" borderId="11" xfId="0" applyFont="1" applyFill="1" applyBorder="1" applyAlignment="1">
      <alignment horizontal="left" vertical="top" wrapText="1"/>
    </xf>
    <xf numFmtId="0" fontId="12" fillId="50" borderId="20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vertical="top" wrapText="1"/>
    </xf>
    <xf numFmtId="0" fontId="12" fillId="50" borderId="11" xfId="0" applyFont="1" applyFill="1" applyBorder="1" applyAlignment="1">
      <alignment vertical="top" wrapText="1"/>
    </xf>
    <xf numFmtId="0" fontId="12" fillId="50" borderId="20" xfId="0" applyFont="1" applyFill="1" applyBorder="1" applyAlignment="1">
      <alignment vertical="top" wrapText="1"/>
    </xf>
    <xf numFmtId="0" fontId="12" fillId="50" borderId="16" xfId="0" applyFont="1" applyFill="1" applyBorder="1" applyAlignment="1">
      <alignment vertical="top" wrapText="1"/>
    </xf>
    <xf numFmtId="0" fontId="12" fillId="50" borderId="12" xfId="0" applyFont="1" applyFill="1" applyBorder="1" applyAlignment="1">
      <alignment vertical="top" wrapText="1"/>
    </xf>
    <xf numFmtId="0" fontId="12" fillId="50" borderId="21" xfId="0" applyFont="1" applyFill="1" applyBorder="1" applyAlignment="1">
      <alignment vertical="top" wrapText="1"/>
    </xf>
    <xf numFmtId="49" fontId="14" fillId="50" borderId="13" xfId="0" applyNumberFormat="1" applyFont="1" applyFill="1" applyBorder="1" applyAlignment="1">
      <alignment horizontal="left"/>
    </xf>
    <xf numFmtId="49" fontId="14" fillId="50" borderId="17" xfId="0" applyNumberFormat="1" applyFont="1" applyFill="1" applyBorder="1" applyAlignment="1">
      <alignment horizontal="left"/>
    </xf>
    <xf numFmtId="0" fontId="13" fillId="50" borderId="14" xfId="0" applyFont="1" applyFill="1" applyBorder="1" applyAlignment="1">
      <alignment horizontal="left" vertical="top" wrapText="1"/>
    </xf>
    <xf numFmtId="0" fontId="13" fillId="50" borderId="11" xfId="0" applyFont="1" applyFill="1" applyBorder="1" applyAlignment="1">
      <alignment horizontal="left" vertical="top" wrapText="1"/>
    </xf>
    <xf numFmtId="0" fontId="13" fillId="50" borderId="2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3" fillId="50" borderId="30" xfId="0" applyFont="1" applyFill="1" applyBorder="1" applyAlignment="1">
      <alignment horizontal="left" vertical="top" wrapText="1"/>
    </xf>
    <xf numFmtId="0" fontId="13" fillId="50" borderId="33" xfId="0" applyFont="1" applyFill="1" applyBorder="1" applyAlignment="1">
      <alignment horizontal="left" vertical="top" wrapText="1"/>
    </xf>
    <xf numFmtId="0" fontId="13" fillId="50" borderId="73" xfId="0" applyFont="1" applyFill="1" applyBorder="1" applyAlignment="1">
      <alignment horizontal="left" vertical="top" wrapText="1"/>
    </xf>
    <xf numFmtId="0" fontId="33" fillId="50" borderId="14" xfId="0" applyFont="1" applyFill="1" applyBorder="1" applyAlignment="1">
      <alignment horizontal="left"/>
    </xf>
    <xf numFmtId="0" fontId="33" fillId="50" borderId="11" xfId="0" applyFont="1" applyFill="1" applyBorder="1" applyAlignment="1">
      <alignment horizontal="left"/>
    </xf>
    <xf numFmtId="0" fontId="33" fillId="50" borderId="2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top" wrapText="1"/>
    </xf>
    <xf numFmtId="0" fontId="33" fillId="50" borderId="38" xfId="0" applyFont="1" applyFill="1" applyBorder="1" applyAlignment="1">
      <alignment horizontal="left" wrapText="1"/>
    </xf>
    <xf numFmtId="0" fontId="33" fillId="50" borderId="47" xfId="0" applyFont="1" applyFill="1" applyBorder="1" applyAlignment="1">
      <alignment horizontal="left" wrapText="1"/>
    </xf>
    <xf numFmtId="0" fontId="33" fillId="50" borderId="75" xfId="0" applyFont="1" applyFill="1" applyBorder="1" applyAlignment="1">
      <alignment horizontal="left" wrapText="1"/>
    </xf>
    <xf numFmtId="0" fontId="14" fillId="50" borderId="14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0" xfId="0" applyFont="1" applyFill="1" applyBorder="1" applyAlignment="1">
      <alignment horizontal="left" vertical="top" wrapText="1"/>
    </xf>
    <xf numFmtId="0" fontId="14" fillId="50" borderId="30" xfId="0" applyFont="1" applyFill="1" applyBorder="1" applyAlignment="1">
      <alignment horizontal="left" vertical="top" wrapText="1"/>
    </xf>
    <xf numFmtId="0" fontId="14" fillId="50" borderId="33" xfId="0" applyFont="1" applyFill="1" applyBorder="1" applyAlignment="1">
      <alignment horizontal="left" vertical="top" wrapText="1"/>
    </xf>
    <xf numFmtId="0" fontId="14" fillId="50" borderId="73" xfId="0" applyFont="1" applyFill="1" applyBorder="1" applyAlignment="1">
      <alignment horizontal="left" vertical="top" wrapText="1"/>
    </xf>
    <xf numFmtId="0" fontId="33" fillId="50" borderId="25" xfId="0" applyFont="1" applyFill="1" applyBorder="1" applyAlignment="1">
      <alignment horizontal="left" wrapText="1"/>
    </xf>
    <xf numFmtId="0" fontId="33" fillId="50" borderId="79" xfId="0" applyFont="1" applyFill="1" applyBorder="1" applyAlignment="1">
      <alignment horizontal="left" wrapText="1"/>
    </xf>
    <xf numFmtId="0" fontId="33" fillId="50" borderId="74" xfId="0" applyFont="1" applyFill="1" applyBorder="1" applyAlignment="1">
      <alignment horizontal="left" wrapText="1"/>
    </xf>
    <xf numFmtId="49" fontId="14" fillId="0" borderId="52" xfId="0" applyNumberFormat="1" applyFont="1" applyBorder="1" applyAlignment="1">
      <alignment horizontal="left"/>
    </xf>
    <xf numFmtId="49" fontId="14" fillId="0" borderId="48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7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38" xfId="0" applyFont="1" applyBorder="1" applyAlignment="1">
      <alignment horizontal="left" wrapText="1"/>
    </xf>
    <xf numFmtId="0" fontId="33" fillId="0" borderId="47" xfId="0" applyFont="1" applyBorder="1" applyAlignment="1">
      <alignment horizontal="left" wrapText="1"/>
    </xf>
    <xf numFmtId="0" fontId="33" fillId="0" borderId="75" xfId="0" applyFont="1" applyBorder="1" applyAlignment="1">
      <alignment horizontal="left" wrapText="1"/>
    </xf>
    <xf numFmtId="49" fontId="14" fillId="0" borderId="4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7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81" fontId="37" fillId="0" borderId="12" xfId="60" applyNumberFormat="1" applyFont="1" applyBorder="1" applyAlignment="1">
      <alignment horizontal="center" vertical="center"/>
    </xf>
    <xf numFmtId="181" fontId="0" fillId="0" borderId="33" xfId="60" applyNumberFormat="1" applyFont="1" applyBorder="1" applyAlignment="1">
      <alignment horizontal="center" vertical="center"/>
    </xf>
    <xf numFmtId="181" fontId="0" fillId="54" borderId="22" xfId="60" applyNumberFormat="1" applyFont="1" applyFill="1" applyBorder="1" applyAlignment="1">
      <alignment horizontal="center" vertical="center"/>
    </xf>
    <xf numFmtId="175" fontId="37" fillId="0" borderId="33" xfId="0" applyNumberFormat="1" applyFont="1" applyBorder="1" applyAlignment="1">
      <alignment horizontal="center" vertical="center"/>
    </xf>
    <xf numFmtId="175" fontId="37" fillId="5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.ф.п."/>
      <sheetName val="ДОХ. 2013 Пр.1"/>
      <sheetName val="Свод.бюд.росп."/>
      <sheetName val="ВЕД.СТ-РА Пр.2."/>
      <sheetName val="Вед стр расх Пр.2"/>
      <sheetName val="покв.расп.дох.ист.фин"/>
      <sheetName val="ИСТ.фин.Пр.3."/>
    </sheetNames>
    <sheetDataSet>
      <sheetData sheetId="1">
        <row r="50">
          <cell r="F50">
            <v>0</v>
          </cell>
          <cell r="G50">
            <v>0</v>
          </cell>
          <cell r="H50">
            <v>1469.7</v>
          </cell>
          <cell r="I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2910" t="s">
        <v>824</v>
      </c>
      <c r="E1" s="2910"/>
      <c r="F1" s="2910"/>
      <c r="G1" s="2910"/>
    </row>
    <row r="2" spans="1:7" ht="12.75">
      <c r="A2" s="2911" t="s">
        <v>829</v>
      </c>
      <c r="B2" s="2911"/>
      <c r="C2" s="2911"/>
      <c r="D2" s="2911"/>
      <c r="E2" s="2911"/>
      <c r="F2" s="2911"/>
      <c r="G2" s="2911"/>
    </row>
    <row r="3" spans="1:7" ht="12.75">
      <c r="A3" s="28"/>
      <c r="B3" s="28"/>
      <c r="C3" s="28" t="s">
        <v>828</v>
      </c>
      <c r="D3" s="144"/>
      <c r="E3" s="28" t="s">
        <v>827</v>
      </c>
      <c r="F3" s="2924">
        <v>39374</v>
      </c>
      <c r="G3" s="2910"/>
    </row>
    <row r="4" spans="1:7" ht="15.75">
      <c r="A4" s="2912" t="s">
        <v>825</v>
      </c>
      <c r="B4" s="2913"/>
      <c r="C4" s="2913"/>
      <c r="D4" s="2913"/>
      <c r="E4" s="2913"/>
      <c r="F4" s="2913"/>
      <c r="G4" s="2913"/>
    </row>
    <row r="5" spans="1:7" ht="15.75">
      <c r="A5" s="2925" t="s">
        <v>830</v>
      </c>
      <c r="B5" s="2925"/>
      <c r="C5" s="2925"/>
      <c r="D5" s="2925"/>
      <c r="E5" s="2925"/>
      <c r="F5" s="2925"/>
      <c r="G5" s="2925"/>
    </row>
    <row r="6" spans="1:7" ht="15.75">
      <c r="A6" s="2923" t="s">
        <v>826</v>
      </c>
      <c r="B6" s="2923"/>
      <c r="C6" s="2923"/>
      <c r="D6" s="2923"/>
      <c r="E6" s="2923"/>
      <c r="F6" s="2923"/>
      <c r="G6" s="2923"/>
    </row>
    <row r="7" spans="1:7" ht="40.5" customHeight="1">
      <c r="A7" s="2914" t="s">
        <v>633</v>
      </c>
      <c r="B7" s="2917" t="s">
        <v>634</v>
      </c>
      <c r="C7" s="2918"/>
      <c r="D7" s="128" t="s">
        <v>635</v>
      </c>
      <c r="E7" s="128" t="s">
        <v>636</v>
      </c>
      <c r="F7" s="2921" t="s">
        <v>174</v>
      </c>
      <c r="G7" s="2922"/>
    </row>
    <row r="8" spans="1:7" ht="24" customHeight="1">
      <c r="A8" s="2915"/>
      <c r="B8" s="2919">
        <v>2006</v>
      </c>
      <c r="C8" s="2920"/>
      <c r="D8" s="129">
        <v>2007</v>
      </c>
      <c r="E8" s="129">
        <v>2008</v>
      </c>
      <c r="F8" s="130">
        <v>2009</v>
      </c>
      <c r="G8" s="130">
        <v>2010</v>
      </c>
    </row>
    <row r="9" spans="1:7" ht="36">
      <c r="A9" s="2916"/>
      <c r="B9" s="131" t="s">
        <v>176</v>
      </c>
      <c r="C9" s="131" t="s">
        <v>632</v>
      </c>
      <c r="D9" s="131" t="s">
        <v>176</v>
      </c>
      <c r="E9" s="131" t="s">
        <v>175</v>
      </c>
      <c r="F9" s="131" t="s">
        <v>175</v>
      </c>
      <c r="G9" s="131" t="s">
        <v>175</v>
      </c>
    </row>
    <row r="10" spans="1:7" ht="12.75">
      <c r="A10" s="132" t="s">
        <v>820</v>
      </c>
      <c r="B10" s="137">
        <f aca="true" t="shared" si="0" ref="B10:G10">SUM(B12:B14)</f>
        <v>65826</v>
      </c>
      <c r="C10" s="137">
        <f t="shared" si="0"/>
        <v>65963</v>
      </c>
      <c r="D10" s="137">
        <f t="shared" si="0"/>
        <v>68447</v>
      </c>
      <c r="E10" s="137" t="e">
        <f t="shared" si="0"/>
        <v>#REF!</v>
      </c>
      <c r="F10" s="141">
        <f t="shared" si="0"/>
        <v>82403.6</v>
      </c>
      <c r="G10" s="141">
        <f t="shared" si="0"/>
        <v>89697.56000000001</v>
      </c>
    </row>
    <row r="11" spans="1:7" ht="12.75">
      <c r="A11" s="133" t="s">
        <v>821</v>
      </c>
      <c r="B11" s="127"/>
      <c r="C11" s="127"/>
      <c r="D11" s="127"/>
      <c r="E11" s="127"/>
      <c r="F11" s="127"/>
      <c r="G11" s="127"/>
    </row>
    <row r="12" spans="1:7" ht="12.75">
      <c r="A12" s="134" t="s">
        <v>822</v>
      </c>
      <c r="B12" s="127">
        <v>53375</v>
      </c>
      <c r="C12" s="127">
        <v>53512</v>
      </c>
      <c r="D12" s="127">
        <v>48679</v>
      </c>
      <c r="E12" s="127">
        <v>55109</v>
      </c>
      <c r="F12" s="140">
        <f>E12*110%</f>
        <v>60619.9</v>
      </c>
      <c r="G12" s="140">
        <f>F12*110%</f>
        <v>66681.89000000001</v>
      </c>
    </row>
    <row r="13" spans="1:7" ht="12.75">
      <c r="A13" s="134" t="s">
        <v>823</v>
      </c>
      <c r="B13" s="127">
        <v>2807</v>
      </c>
      <c r="C13" s="127">
        <v>2807</v>
      </c>
      <c r="D13" s="127">
        <v>7268</v>
      </c>
      <c r="E13" s="127">
        <v>8527</v>
      </c>
      <c r="F13" s="140">
        <f>E13*110%</f>
        <v>9379.7</v>
      </c>
      <c r="G13" s="140">
        <f>F13*110%</f>
        <v>10317.670000000002</v>
      </c>
    </row>
    <row r="14" spans="1:7" ht="12.75">
      <c r="A14" s="134" t="s">
        <v>581</v>
      </c>
      <c r="B14" s="127">
        <v>9644</v>
      </c>
      <c r="C14" s="127">
        <v>9644</v>
      </c>
      <c r="D14" s="127">
        <v>12500</v>
      </c>
      <c r="E14" s="127" t="e">
        <f>#REF!</f>
        <v>#REF!</v>
      </c>
      <c r="F14" s="127">
        <v>12404</v>
      </c>
      <c r="G14" s="127">
        <v>12698</v>
      </c>
    </row>
    <row r="15" spans="1:7" ht="12.75">
      <c r="A15" s="133" t="s">
        <v>821</v>
      </c>
      <c r="B15" s="127"/>
      <c r="C15" s="127"/>
      <c r="D15" s="127"/>
      <c r="E15" s="127"/>
      <c r="F15" s="127"/>
      <c r="G15" s="127"/>
    </row>
    <row r="16" spans="1:7" ht="15.75" customHeight="1">
      <c r="A16" s="133" t="s">
        <v>582</v>
      </c>
      <c r="B16" s="127"/>
      <c r="C16" s="127"/>
      <c r="D16" s="127">
        <v>0</v>
      </c>
      <c r="E16" s="127"/>
      <c r="F16" s="127"/>
      <c r="G16" s="127"/>
    </row>
    <row r="17" spans="1:7" ht="12.75">
      <c r="A17" s="134" t="s">
        <v>583</v>
      </c>
      <c r="B17" s="127"/>
      <c r="C17" s="127"/>
      <c r="D17" s="127"/>
      <c r="E17" s="127"/>
      <c r="F17" s="127"/>
      <c r="G17" s="127"/>
    </row>
    <row r="18" spans="1:7" ht="14.25" customHeight="1">
      <c r="A18" s="134" t="s">
        <v>584</v>
      </c>
      <c r="B18" s="127"/>
      <c r="C18" s="127"/>
      <c r="D18" s="127">
        <v>0</v>
      </c>
      <c r="E18" s="127"/>
      <c r="F18" s="127"/>
      <c r="G18" s="127"/>
    </row>
    <row r="19" spans="1:7" ht="12.75">
      <c r="A19" s="132" t="s">
        <v>585</v>
      </c>
      <c r="B19" s="137">
        <f aca="true" t="shared" si="1" ref="B19:G19">B20+B25+B26+B27+B28+B29+B30+B31</f>
        <v>66426</v>
      </c>
      <c r="C19" s="137">
        <f t="shared" si="1"/>
        <v>66163</v>
      </c>
      <c r="D19" s="137">
        <f t="shared" si="1"/>
        <v>69548</v>
      </c>
      <c r="E19" s="137" t="e">
        <f t="shared" si="1"/>
        <v>#REF!</v>
      </c>
      <c r="F19" s="141" t="e">
        <f t="shared" si="1"/>
        <v>#REF!</v>
      </c>
      <c r="G19" s="141" t="e">
        <f t="shared" si="1"/>
        <v>#REF!</v>
      </c>
    </row>
    <row r="20" spans="1:7" ht="12.75">
      <c r="A20" s="134" t="s">
        <v>586</v>
      </c>
      <c r="B20" s="127">
        <v>12028</v>
      </c>
      <c r="C20" s="127">
        <v>12027</v>
      </c>
      <c r="D20" s="127">
        <v>14091</v>
      </c>
      <c r="E20" s="127" t="e">
        <f>'ВЕД.СТ Пр.2.'!#REF!</f>
        <v>#REF!</v>
      </c>
      <c r="F20" s="140" t="e">
        <f>'ВЕД.СТ Пр.2.'!#REF!</f>
        <v>#REF!</v>
      </c>
      <c r="G20" s="140" t="e">
        <f>'ВЕД.СТ Пр.2.'!#REF!</f>
        <v>#REF!</v>
      </c>
    </row>
    <row r="21" spans="1:7" ht="12.75">
      <c r="A21" s="133" t="s">
        <v>821</v>
      </c>
      <c r="B21" s="127"/>
      <c r="C21" s="127"/>
      <c r="D21" s="127"/>
      <c r="E21" s="127"/>
      <c r="F21" s="127"/>
      <c r="G21" s="127"/>
    </row>
    <row r="22" spans="1:7" ht="12.75">
      <c r="A22" s="134" t="s">
        <v>597</v>
      </c>
      <c r="B22" s="127">
        <v>11527</v>
      </c>
      <c r="C22" s="127">
        <v>11526</v>
      </c>
      <c r="D22" s="127">
        <v>12837</v>
      </c>
      <c r="E22" s="140" t="e">
        <f>'ВЕД.СТ Пр.2.'!#REF!+'ВЕД.СТ Пр.2.'!#REF!+'ВЕД.СТ Пр.2.'!#REF!</f>
        <v>#REF!</v>
      </c>
      <c r="F22" s="140" t="e">
        <f>'ВЕД.СТ Пр.2.'!#REF!+'ВЕД.СТ Пр.2.'!#REF!+'ВЕД.СТ Пр.2.'!#REF!</f>
        <v>#REF!</v>
      </c>
      <c r="G22" s="140" t="e">
        <f>'ВЕД.СТ Пр.2.'!#REF!+'ВЕД.СТ Пр.2.'!#REF!+'ВЕД.СТ Пр.2.'!#REF!</f>
        <v>#REF!</v>
      </c>
    </row>
    <row r="23" spans="1:7" ht="12.75">
      <c r="A23" s="134" t="s">
        <v>185</v>
      </c>
      <c r="B23" s="127"/>
      <c r="C23" s="127"/>
      <c r="D23" s="127"/>
      <c r="E23" s="127"/>
      <c r="F23" s="127"/>
      <c r="G23" s="127"/>
    </row>
    <row r="24" spans="1:7" ht="12.75">
      <c r="A24" s="134" t="s">
        <v>598</v>
      </c>
      <c r="B24" s="127"/>
      <c r="C24" s="127"/>
      <c r="D24" s="127"/>
      <c r="E24" s="127" t="e">
        <f>'ВЕД.СТ Пр.2.'!#REF!</f>
        <v>#REF!</v>
      </c>
      <c r="F24" s="127" t="e">
        <f>'ВЕД.СТ Пр.2.'!#REF!</f>
        <v>#REF!</v>
      </c>
      <c r="G24" s="140" t="e">
        <f>'ВЕД.СТ Пр.2.'!#REF!</f>
        <v>#REF!</v>
      </c>
    </row>
    <row r="25" spans="1:7" ht="12" customHeight="1">
      <c r="A25" s="134" t="s">
        <v>599</v>
      </c>
      <c r="B25" s="127">
        <v>505</v>
      </c>
      <c r="C25" s="127">
        <v>505</v>
      </c>
      <c r="D25" s="127">
        <v>523</v>
      </c>
      <c r="E25" s="127" t="e">
        <f>'ВЕД.СТ Пр.2.'!#REF!</f>
        <v>#REF!</v>
      </c>
      <c r="F25" s="127" t="e">
        <f>'ВЕД.СТ Пр.2.'!#REF!</f>
        <v>#REF!</v>
      </c>
      <c r="G25" s="140" t="e">
        <f>'ВЕД.СТ Пр.2.'!#REF!</f>
        <v>#REF!</v>
      </c>
    </row>
    <row r="26" spans="1:7" ht="12.75">
      <c r="A26" s="134" t="s">
        <v>600</v>
      </c>
      <c r="B26" s="127">
        <v>46640</v>
      </c>
      <c r="C26" s="127">
        <v>46639</v>
      </c>
      <c r="D26" s="127">
        <v>43510</v>
      </c>
      <c r="E26" s="127" t="e">
        <f>'ВЕД.СТ Пр.2.'!#REF!</f>
        <v>#REF!</v>
      </c>
      <c r="F26" s="140" t="e">
        <f>'ВЕД.СТ Пр.2.'!#REF!</f>
        <v>#REF!</v>
      </c>
      <c r="G26" s="140" t="e">
        <f>'ВЕД.СТ Пр.2.'!#REF!</f>
        <v>#REF!</v>
      </c>
    </row>
    <row r="27" spans="1:7" ht="12.75">
      <c r="A27" s="134" t="s">
        <v>601</v>
      </c>
      <c r="B27" s="127"/>
      <c r="C27" s="127"/>
      <c r="D27" s="127"/>
      <c r="E27" s="127"/>
      <c r="F27" s="140"/>
      <c r="G27" s="140"/>
    </row>
    <row r="28" spans="1:7" ht="12.75">
      <c r="A28" s="134" t="s">
        <v>602</v>
      </c>
      <c r="B28" s="127">
        <v>2010</v>
      </c>
      <c r="C28" s="127">
        <v>2010</v>
      </c>
      <c r="D28" s="127">
        <v>2466</v>
      </c>
      <c r="E28" s="127" t="e">
        <f>'ВЕД.СТ Пр.2.'!#REF!</f>
        <v>#REF!</v>
      </c>
      <c r="F28" s="140" t="e">
        <f>'ВЕД.СТ Пр.2.'!#REF!</f>
        <v>#REF!</v>
      </c>
      <c r="G28" s="140" t="e">
        <f>'ВЕД.СТ Пр.2.'!#REF!</f>
        <v>#REF!</v>
      </c>
    </row>
    <row r="29" spans="1:7" ht="13.5" customHeight="1">
      <c r="A29" s="134" t="s">
        <v>603</v>
      </c>
      <c r="B29" s="127">
        <v>2061</v>
      </c>
      <c r="C29" s="127">
        <v>2057</v>
      </c>
      <c r="D29" s="127">
        <v>3529</v>
      </c>
      <c r="E29" s="127" t="e">
        <f>'ВЕД.СТ Пр.2.'!#REF!</f>
        <v>#REF!</v>
      </c>
      <c r="F29" s="140" t="e">
        <f>'ВЕД.СТ Пр.2.'!#REF!</f>
        <v>#REF!</v>
      </c>
      <c r="G29" s="140" t="e">
        <f>'ВЕД.СТ Пр.2.'!#REF!</f>
        <v>#REF!</v>
      </c>
    </row>
    <row r="30" spans="1:7" ht="12.75">
      <c r="A30" s="136" t="s">
        <v>182</v>
      </c>
      <c r="B30" s="127">
        <v>842</v>
      </c>
      <c r="C30" s="127">
        <v>842</v>
      </c>
      <c r="D30" s="127">
        <v>407</v>
      </c>
      <c r="E30" s="127" t="e">
        <f>'ВЕД.СТ Пр.2.'!#REF!</f>
        <v>#REF!</v>
      </c>
      <c r="F30" s="140" t="e">
        <f>'ВЕД.СТ Пр.2.'!#REF!</f>
        <v>#REF!</v>
      </c>
      <c r="G30" s="140" t="e">
        <f>'ВЕД.СТ Пр.2.'!#REF!</f>
        <v>#REF!</v>
      </c>
    </row>
    <row r="31" spans="1:7" ht="12.75">
      <c r="A31" s="134" t="s">
        <v>183</v>
      </c>
      <c r="B31" s="127">
        <v>2340</v>
      </c>
      <c r="C31" s="127">
        <v>2083</v>
      </c>
      <c r="D31" s="127">
        <v>5022</v>
      </c>
      <c r="E31" s="127" t="e">
        <f>'ВЕД.СТ Пр.2.'!#REF!</f>
        <v>#REF!</v>
      </c>
      <c r="F31" s="127" t="e">
        <f>'ВЕД.СТ Пр.2.'!#REF!</f>
        <v>#REF!</v>
      </c>
      <c r="G31" s="127" t="e">
        <f>'ВЕД.СТ Пр.2.'!#REF!</f>
        <v>#REF!</v>
      </c>
    </row>
    <row r="32" spans="1:7" ht="12.75">
      <c r="A32" s="135" t="s">
        <v>604</v>
      </c>
      <c r="B32" s="127"/>
      <c r="C32" s="127"/>
      <c r="D32" s="127"/>
      <c r="E32" s="127"/>
      <c r="F32" s="127"/>
      <c r="G32" s="127"/>
    </row>
    <row r="33" spans="1:7" ht="12.75">
      <c r="A33" s="136" t="s">
        <v>605</v>
      </c>
      <c r="B33" s="127"/>
      <c r="C33" s="127"/>
      <c r="D33" s="127"/>
      <c r="E33" s="127"/>
      <c r="F33" s="127"/>
      <c r="G33" s="127"/>
    </row>
    <row r="34" spans="1:7" ht="12.75">
      <c r="A34" s="136" t="s">
        <v>606</v>
      </c>
      <c r="B34" s="120"/>
      <c r="C34" s="120"/>
      <c r="D34" s="120"/>
      <c r="E34" s="120"/>
      <c r="F34" s="120"/>
      <c r="G34" s="120"/>
    </row>
    <row r="35" spans="1:7" ht="12.75">
      <c r="A35" s="135" t="s">
        <v>607</v>
      </c>
      <c r="B35" s="138">
        <f aca="true" t="shared" si="2" ref="B35:G35">B10-B19</f>
        <v>-600</v>
      </c>
      <c r="C35" s="138">
        <f t="shared" si="2"/>
        <v>-200</v>
      </c>
      <c r="D35" s="138">
        <f t="shared" si="2"/>
        <v>-1101</v>
      </c>
      <c r="E35" s="138" t="e">
        <f t="shared" si="2"/>
        <v>#REF!</v>
      </c>
      <c r="F35" s="142" t="e">
        <f t="shared" si="2"/>
        <v>#REF!</v>
      </c>
      <c r="G35" s="142" t="e">
        <f t="shared" si="2"/>
        <v>#REF!</v>
      </c>
    </row>
    <row r="36" spans="1:7" ht="12.75">
      <c r="A36" s="135" t="s">
        <v>608</v>
      </c>
      <c r="B36" s="138">
        <f aca="true" t="shared" si="3" ref="B36:G36">B37</f>
        <v>600</v>
      </c>
      <c r="C36" s="138">
        <f t="shared" si="3"/>
        <v>200</v>
      </c>
      <c r="D36" s="138">
        <f t="shared" si="3"/>
        <v>1101</v>
      </c>
      <c r="E36" s="138" t="e">
        <f t="shared" si="3"/>
        <v>#REF!</v>
      </c>
      <c r="F36" s="142" t="e">
        <f t="shared" si="3"/>
        <v>#REF!</v>
      </c>
      <c r="G36" s="142" t="e">
        <f t="shared" si="3"/>
        <v>#REF!</v>
      </c>
    </row>
    <row r="37" spans="1:7" ht="25.5">
      <c r="A37" s="136" t="s">
        <v>609</v>
      </c>
      <c r="B37" s="120">
        <f aca="true" t="shared" si="4" ref="B37:G37">-B35</f>
        <v>600</v>
      </c>
      <c r="C37" s="120">
        <f t="shared" si="4"/>
        <v>200</v>
      </c>
      <c r="D37" s="120">
        <f t="shared" si="4"/>
        <v>1101</v>
      </c>
      <c r="E37" s="120" t="e">
        <f t="shared" si="4"/>
        <v>#REF!</v>
      </c>
      <c r="F37" s="143" t="e">
        <f t="shared" si="4"/>
        <v>#REF!</v>
      </c>
      <c r="G37" s="143" t="e">
        <f t="shared" si="4"/>
        <v>#REF!</v>
      </c>
    </row>
    <row r="38" spans="1:7" ht="12.75">
      <c r="A38" s="136" t="s">
        <v>610</v>
      </c>
      <c r="B38" s="120"/>
      <c r="C38" s="120"/>
      <c r="D38" s="120"/>
      <c r="E38" s="120"/>
      <c r="F38" s="120"/>
      <c r="G38" s="120"/>
    </row>
    <row r="39" spans="1:7" ht="12.75">
      <c r="A39" s="135" t="s">
        <v>611</v>
      </c>
      <c r="B39" s="138">
        <f aca="true" t="shared" si="5" ref="B39:G39">B41</f>
        <v>0</v>
      </c>
      <c r="C39" s="138">
        <f t="shared" si="5"/>
        <v>0</v>
      </c>
      <c r="D39" s="138">
        <f t="shared" si="5"/>
        <v>0</v>
      </c>
      <c r="E39" s="138">
        <f t="shared" si="5"/>
        <v>0</v>
      </c>
      <c r="F39" s="138">
        <f t="shared" si="5"/>
        <v>0</v>
      </c>
      <c r="G39" s="138">
        <f t="shared" si="5"/>
        <v>0</v>
      </c>
    </row>
    <row r="40" spans="1:7" ht="12.75">
      <c r="A40" s="136" t="s">
        <v>821</v>
      </c>
      <c r="B40" s="120"/>
      <c r="C40" s="120"/>
      <c r="D40" s="120"/>
      <c r="E40" s="120"/>
      <c r="F40" s="120"/>
      <c r="G40" s="120"/>
    </row>
    <row r="41" spans="1:7" ht="15.75" customHeight="1">
      <c r="A41" s="136" t="s">
        <v>177</v>
      </c>
      <c r="B41" s="120">
        <v>0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</row>
    <row r="42" spans="1:7" ht="12.75">
      <c r="A42" s="135" t="s">
        <v>178</v>
      </c>
      <c r="B42" s="120"/>
      <c r="C42" s="120"/>
      <c r="D42" s="120"/>
      <c r="E42" s="120"/>
      <c r="F42" s="120"/>
      <c r="G42" s="120"/>
    </row>
    <row r="43" spans="1:7" ht="28.5" customHeight="1">
      <c r="A43" s="136" t="s">
        <v>179</v>
      </c>
      <c r="B43" s="120">
        <v>0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</row>
    <row r="44" spans="1:7" ht="25.5">
      <c r="A44" s="136" t="s">
        <v>181</v>
      </c>
      <c r="B44" s="120">
        <v>0</v>
      </c>
      <c r="C44" s="120">
        <v>0</v>
      </c>
      <c r="D44" s="120">
        <v>0</v>
      </c>
      <c r="E44" s="120">
        <v>0</v>
      </c>
      <c r="F44" s="120">
        <v>0</v>
      </c>
      <c r="G44" s="120"/>
    </row>
    <row r="45" spans="1:7" ht="29.25" customHeight="1">
      <c r="A45" s="136" t="s">
        <v>184</v>
      </c>
      <c r="B45" s="121">
        <f aca="true" t="shared" si="6" ref="B45:G45">B35/(B12+B13)</f>
        <v>-0.010679577088747286</v>
      </c>
      <c r="C45" s="121">
        <f t="shared" si="6"/>
        <v>-0.0035511994176032954</v>
      </c>
      <c r="D45" s="121">
        <f t="shared" si="6"/>
        <v>-0.019679339374765403</v>
      </c>
      <c r="E45" s="121" t="e">
        <f t="shared" si="6"/>
        <v>#REF!</v>
      </c>
      <c r="F45" s="121" t="e">
        <f t="shared" si="6"/>
        <v>#REF!</v>
      </c>
      <c r="G45" s="121" t="e">
        <f t="shared" si="6"/>
        <v>#REF!</v>
      </c>
    </row>
    <row r="47" ht="12.75">
      <c r="A47" s="139" t="s">
        <v>186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2911" t="s">
        <v>824</v>
      </c>
      <c r="E1" s="2911"/>
      <c r="F1" s="2911"/>
      <c r="G1" s="2911"/>
      <c r="H1" s="2911"/>
    </row>
    <row r="2" spans="1:8" ht="12.75">
      <c r="A2" s="2911" t="s">
        <v>829</v>
      </c>
      <c r="B2" s="2911"/>
      <c r="C2" s="2911"/>
      <c r="D2" s="2911"/>
      <c r="E2" s="2911"/>
      <c r="F2" s="2911"/>
      <c r="G2" s="2911"/>
      <c r="H2" s="2911"/>
    </row>
    <row r="3" spans="3:7" ht="12.75">
      <c r="C3" t="s">
        <v>828</v>
      </c>
      <c r="D3" s="865">
        <v>1</v>
      </c>
      <c r="E3">
        <v>4</v>
      </c>
      <c r="F3">
        <v>69</v>
      </c>
      <c r="G3" t="s">
        <v>84</v>
      </c>
    </row>
    <row r="5" spans="1:8" ht="12.75">
      <c r="A5" s="3004" t="s">
        <v>85</v>
      </c>
      <c r="B5" s="3004"/>
      <c r="C5" s="3004"/>
      <c r="D5" s="3004"/>
      <c r="E5" s="3004"/>
      <c r="F5" s="3004"/>
      <c r="G5" s="3004"/>
      <c r="H5" s="3004"/>
    </row>
    <row r="6" spans="1:8" ht="12.75">
      <c r="A6" s="3004" t="s">
        <v>830</v>
      </c>
      <c r="B6" s="3004"/>
      <c r="C6" s="3004"/>
      <c r="D6" s="3004"/>
      <c r="E6" s="3004"/>
      <c r="F6" s="3004"/>
      <c r="G6" s="3004"/>
      <c r="H6" s="3004"/>
    </row>
    <row r="7" spans="1:8" ht="12.75">
      <c r="A7" s="859" t="s">
        <v>86</v>
      </c>
      <c r="B7" s="859"/>
      <c r="C7" s="859"/>
      <c r="D7" s="859"/>
      <c r="E7" s="859"/>
      <c r="F7" s="859"/>
      <c r="G7" s="859"/>
      <c r="H7" s="859"/>
    </row>
    <row r="8" spans="1:8" ht="57" customHeight="1">
      <c r="A8" s="2914" t="s">
        <v>633</v>
      </c>
      <c r="B8" s="3005" t="s">
        <v>634</v>
      </c>
      <c r="C8" s="3006"/>
      <c r="D8" s="3005" t="s">
        <v>635</v>
      </c>
      <c r="E8" s="3006"/>
      <c r="F8" s="127" t="s">
        <v>636</v>
      </c>
      <c r="G8" s="3005" t="s">
        <v>174</v>
      </c>
      <c r="H8" s="3006"/>
    </row>
    <row r="9" spans="1:8" ht="12.75">
      <c r="A9" s="2915"/>
      <c r="B9" s="3002">
        <v>2008</v>
      </c>
      <c r="C9" s="3003"/>
      <c r="D9" s="3002">
        <v>2009</v>
      </c>
      <c r="E9" s="3003"/>
      <c r="F9" s="723">
        <v>2010</v>
      </c>
      <c r="G9" s="723">
        <v>2011</v>
      </c>
      <c r="H9" s="723">
        <v>2012</v>
      </c>
    </row>
    <row r="10" spans="1:8" ht="96.75" customHeight="1">
      <c r="A10" s="2916"/>
      <c r="B10" s="127" t="s">
        <v>176</v>
      </c>
      <c r="C10" s="127" t="s">
        <v>632</v>
      </c>
      <c r="D10" s="127" t="s">
        <v>87</v>
      </c>
      <c r="E10" s="127" t="s">
        <v>88</v>
      </c>
      <c r="F10" s="127" t="s">
        <v>89</v>
      </c>
      <c r="G10" s="127" t="s">
        <v>175</v>
      </c>
      <c r="H10" s="127" t="s">
        <v>175</v>
      </c>
    </row>
    <row r="11" spans="1:8" ht="12.75">
      <c r="A11" s="862" t="s">
        <v>820</v>
      </c>
      <c r="B11" s="862">
        <v>69354.7</v>
      </c>
      <c r="C11" s="862">
        <v>72613.7</v>
      </c>
      <c r="D11" s="862">
        <v>67410</v>
      </c>
      <c r="E11" s="862">
        <v>73909.5</v>
      </c>
      <c r="F11" s="862">
        <v>78900</v>
      </c>
      <c r="G11" s="862">
        <f>F11*1.07</f>
        <v>84423</v>
      </c>
      <c r="H11" s="862">
        <f>G11*1.07</f>
        <v>90332.61</v>
      </c>
    </row>
    <row r="12" spans="1:8" ht="12.75">
      <c r="A12" s="860" t="s">
        <v>821</v>
      </c>
      <c r="B12" s="860"/>
      <c r="C12" s="860"/>
      <c r="D12" s="860"/>
      <c r="E12" s="860"/>
      <c r="F12" s="860"/>
      <c r="G12" s="860"/>
      <c r="H12" s="860"/>
    </row>
    <row r="13" spans="1:8" ht="12.75">
      <c r="A13" s="860" t="s">
        <v>822</v>
      </c>
      <c r="B13" s="860">
        <v>51770.2</v>
      </c>
      <c r="C13" s="860">
        <v>55910.6</v>
      </c>
      <c r="D13" s="860">
        <v>54768.5</v>
      </c>
      <c r="E13" s="860">
        <v>63264</v>
      </c>
      <c r="F13" s="860">
        <f>Доходы!E8+Доходы!E23+Доходы!E26</f>
        <v>99084.9</v>
      </c>
      <c r="G13" s="860">
        <f>F13*1.07</f>
        <v>106020.843</v>
      </c>
      <c r="H13" s="860">
        <f>G13*1.07</f>
        <v>113442.30201</v>
      </c>
    </row>
    <row r="14" spans="1:8" ht="12.75">
      <c r="A14" s="860" t="s">
        <v>823</v>
      </c>
      <c r="B14" s="860">
        <v>5465.9</v>
      </c>
      <c r="C14" s="860">
        <v>5115.1</v>
      </c>
      <c r="D14" s="860">
        <v>3830</v>
      </c>
      <c r="E14" s="860">
        <v>1834</v>
      </c>
      <c r="F14" s="860">
        <f>Доходы!E37+Доходы!E49</f>
        <v>2626.8</v>
      </c>
      <c r="G14" s="860">
        <f>F14*1.07</f>
        <v>2810.6760000000004</v>
      </c>
      <c r="H14" s="860">
        <f>G14*1.07</f>
        <v>3007.423320000001</v>
      </c>
    </row>
    <row r="15" spans="1:8" ht="15.75" customHeight="1">
      <c r="A15" s="860" t="s">
        <v>581</v>
      </c>
      <c r="B15" s="860">
        <v>12118.6</v>
      </c>
      <c r="C15" s="860">
        <v>11588</v>
      </c>
      <c r="D15" s="860">
        <v>8811.5</v>
      </c>
      <c r="E15" s="860">
        <v>8811.5</v>
      </c>
      <c r="F15" s="860">
        <f>F17</f>
        <v>15947.3</v>
      </c>
      <c r="G15" s="860">
        <f>G17</f>
        <v>10732.9</v>
      </c>
      <c r="H15" s="860">
        <f>H17</f>
        <v>11614.199999999999</v>
      </c>
    </row>
    <row r="16" spans="1:8" ht="12.75">
      <c r="A16" s="860" t="s">
        <v>821</v>
      </c>
      <c r="B16" s="860"/>
      <c r="C16" s="860"/>
      <c r="D16" s="860"/>
      <c r="E16" s="860"/>
      <c r="F16" s="860"/>
      <c r="G16" s="860"/>
      <c r="H16" s="860"/>
    </row>
    <row r="17" spans="1:8" ht="25.5">
      <c r="A17" s="860" t="s">
        <v>90</v>
      </c>
      <c r="B17" s="860">
        <v>12118.6</v>
      </c>
      <c r="C17" s="860">
        <v>11588</v>
      </c>
      <c r="D17" s="860">
        <v>8811.5</v>
      </c>
      <c r="E17" s="860">
        <v>8811.5</v>
      </c>
      <c r="F17" s="860">
        <f>SUM(F18:F19)</f>
        <v>15947.3</v>
      </c>
      <c r="G17" s="860">
        <f>SUM(G18:G19)</f>
        <v>10732.9</v>
      </c>
      <c r="H17" s="860">
        <f>SUM(H18:H19)</f>
        <v>11614.199999999999</v>
      </c>
    </row>
    <row r="18" spans="1:8" ht="12.75">
      <c r="A18" s="860" t="s">
        <v>423</v>
      </c>
      <c r="B18" s="860">
        <v>5000</v>
      </c>
      <c r="C18" s="860">
        <v>5000</v>
      </c>
      <c r="D18" s="860">
        <v>0</v>
      </c>
      <c r="E18" s="860">
        <v>0</v>
      </c>
      <c r="F18" s="860">
        <v>0</v>
      </c>
      <c r="G18" s="860">
        <v>0</v>
      </c>
      <c r="H18" s="860">
        <v>0</v>
      </c>
    </row>
    <row r="19" spans="1:8" ht="13.5" customHeight="1">
      <c r="A19" s="860" t="s">
        <v>91</v>
      </c>
      <c r="B19" s="860">
        <v>7118.6</v>
      </c>
      <c r="C19" s="860">
        <v>6588</v>
      </c>
      <c r="D19" s="860">
        <v>8811.5</v>
      </c>
      <c r="E19" s="860">
        <v>8811.5</v>
      </c>
      <c r="F19" s="860">
        <f>Доходы!E73</f>
        <v>15947.3</v>
      </c>
      <c r="G19" s="860">
        <f>3084.1+6992.6+591.4+64.8</f>
        <v>10732.9</v>
      </c>
      <c r="H19" s="860">
        <f>3430+7482.1+632.8+69.3</f>
        <v>11614.199999999999</v>
      </c>
    </row>
    <row r="20" spans="1:8" ht="12.75">
      <c r="A20" s="862" t="s">
        <v>585</v>
      </c>
      <c r="B20" s="862">
        <v>68801.6</v>
      </c>
      <c r="C20" s="862">
        <v>68193.9</v>
      </c>
      <c r="D20" s="862">
        <v>67410</v>
      </c>
      <c r="E20" s="862">
        <v>67410</v>
      </c>
      <c r="F20" s="862" t="e">
        <f>F21+F26+F27+F28+F29+F30+F31+F32</f>
        <v>#REF!</v>
      </c>
      <c r="G20" s="862" t="e">
        <f>G21+G26+G27+G28+G29+G30+G31+G32</f>
        <v>#REF!</v>
      </c>
      <c r="H20" s="862">
        <f>H21+H26+H27+H28+H29+H30+H31+H32</f>
        <v>68940.504983</v>
      </c>
    </row>
    <row r="21" spans="1:8" ht="12.75">
      <c r="A21" s="860" t="s">
        <v>586</v>
      </c>
      <c r="B21" s="860">
        <v>17254.6</v>
      </c>
      <c r="C21" s="860">
        <v>17179.5</v>
      </c>
      <c r="D21" s="860">
        <v>22500</v>
      </c>
      <c r="E21" s="860">
        <v>22500</v>
      </c>
      <c r="F21" s="860">
        <f>'ВЕД.СТ Пр.2.'!I32</f>
        <v>4378</v>
      </c>
      <c r="G21" s="864">
        <f>F21*1.07-70.246</f>
        <v>4614.214</v>
      </c>
      <c r="H21" s="860">
        <f>(G21*1.07+228.96)</f>
        <v>5166.16898</v>
      </c>
    </row>
    <row r="22" spans="1:8" ht="12.75">
      <c r="A22" s="860" t="s">
        <v>821</v>
      </c>
      <c r="B22" s="860"/>
      <c r="C22" s="860"/>
      <c r="D22" s="860"/>
      <c r="E22" s="860"/>
      <c r="F22" s="860"/>
      <c r="G22" s="864">
        <v>0</v>
      </c>
      <c r="H22" s="860">
        <v>0</v>
      </c>
    </row>
    <row r="23" spans="1:8" ht="13.5" customHeight="1">
      <c r="A23" s="861" t="s">
        <v>597</v>
      </c>
      <c r="B23" s="861">
        <v>16670.6</v>
      </c>
      <c r="C23" s="861">
        <v>16597</v>
      </c>
      <c r="D23" s="861">
        <v>19193</v>
      </c>
      <c r="E23" s="861">
        <v>19193</v>
      </c>
      <c r="F23" s="861" t="e">
        <f>'ВЕД.СТ Пр.2.'!I33+'ВЕД.СТ Пр.2.'!I36+'ВЕД.СТ Пр.2.'!#REF!</f>
        <v>#REF!</v>
      </c>
      <c r="G23" s="863" t="e">
        <f>F23*1.07</f>
        <v>#REF!</v>
      </c>
      <c r="H23" s="861" t="e">
        <f>G23*1.07</f>
        <v>#REF!</v>
      </c>
    </row>
    <row r="24" spans="1:8" ht="12.75">
      <c r="A24" s="861" t="s">
        <v>185</v>
      </c>
      <c r="B24" s="861">
        <v>0</v>
      </c>
      <c r="C24" s="861">
        <v>0</v>
      </c>
      <c r="D24" s="861">
        <v>0</v>
      </c>
      <c r="E24" s="861">
        <v>0</v>
      </c>
      <c r="F24" s="861">
        <v>0</v>
      </c>
      <c r="G24" s="861">
        <v>0</v>
      </c>
      <c r="H24" s="861">
        <v>0</v>
      </c>
    </row>
    <row r="25" spans="1:8" ht="12.75">
      <c r="A25" s="861" t="s">
        <v>598</v>
      </c>
      <c r="B25" s="861">
        <v>0</v>
      </c>
      <c r="C25" s="861">
        <v>0</v>
      </c>
      <c r="D25" s="861">
        <v>0</v>
      </c>
      <c r="E25" s="861">
        <v>0</v>
      </c>
      <c r="F25" s="863" t="e">
        <f>'ВЕД.СТ Пр.2.'!#REF!</f>
        <v>#REF!</v>
      </c>
      <c r="G25" s="863" t="e">
        <f>F25*1.07</f>
        <v>#REF!</v>
      </c>
      <c r="H25" s="863" t="e">
        <f>G25*1.07</f>
        <v>#REF!</v>
      </c>
    </row>
    <row r="26" spans="1:8" ht="17.25" customHeight="1">
      <c r="A26" s="860" t="s">
        <v>599</v>
      </c>
      <c r="B26" s="860">
        <v>693.1</v>
      </c>
      <c r="C26" s="860">
        <v>688.6</v>
      </c>
      <c r="D26" s="860">
        <v>853.6</v>
      </c>
      <c r="E26" s="860">
        <v>853.6</v>
      </c>
      <c r="F26" s="860" t="e">
        <f>'ВЕД.СТ Пр.2.'!#REF!</f>
        <v>#REF!</v>
      </c>
      <c r="G26" s="864" t="e">
        <f aca="true" t="shared" si="0" ref="G26:G31">F26*1.07</f>
        <v>#REF!</v>
      </c>
      <c r="H26" s="864">
        <v>1197.642108</v>
      </c>
    </row>
    <row r="27" spans="1:8" ht="12.75">
      <c r="A27" s="860" t="s">
        <v>600</v>
      </c>
      <c r="B27" s="860">
        <v>36674.3</v>
      </c>
      <c r="C27" s="860">
        <v>36673.8</v>
      </c>
      <c r="D27" s="860">
        <v>30458</v>
      </c>
      <c r="E27" s="860">
        <v>30458</v>
      </c>
      <c r="F27" s="860" t="e">
        <f>'ВЕД.СТ Пр.2.'!#REF!</f>
        <v>#REF!</v>
      </c>
      <c r="G27" s="864" t="e">
        <f t="shared" si="0"/>
        <v>#REF!</v>
      </c>
      <c r="H27" s="864">
        <v>42091.43562</v>
      </c>
    </row>
    <row r="28" spans="1:8" ht="12.75">
      <c r="A28" s="860" t="s">
        <v>601</v>
      </c>
      <c r="B28" s="860">
        <v>7.9</v>
      </c>
      <c r="C28" s="860">
        <v>7.9</v>
      </c>
      <c r="D28" s="860">
        <v>8.4</v>
      </c>
      <c r="E28" s="860">
        <v>8.4</v>
      </c>
      <c r="F28" s="860" t="e">
        <f>'ВЕД.СТ Пр.2.'!#REF!</f>
        <v>#REF!</v>
      </c>
      <c r="G28" s="860" t="e">
        <f t="shared" si="0"/>
        <v>#REF!</v>
      </c>
      <c r="H28" s="864">
        <v>17.1735</v>
      </c>
    </row>
    <row r="29" spans="1:8" ht="12.75">
      <c r="A29" s="860" t="s">
        <v>602</v>
      </c>
      <c r="B29" s="860">
        <v>2645</v>
      </c>
      <c r="C29" s="860">
        <v>2645</v>
      </c>
      <c r="D29" s="860">
        <v>2080</v>
      </c>
      <c r="E29" s="860">
        <v>2080</v>
      </c>
      <c r="F29" s="860" t="e">
        <f>'ВЕД.СТ Пр.2.'!#REF!</f>
        <v>#REF!</v>
      </c>
      <c r="G29" s="860" t="e">
        <f t="shared" si="0"/>
        <v>#REF!</v>
      </c>
      <c r="H29" s="864">
        <v>4435.3426</v>
      </c>
    </row>
    <row r="30" spans="1:8" ht="13.5" customHeight="1">
      <c r="A30" s="860" t="s">
        <v>603</v>
      </c>
      <c r="B30" s="860">
        <v>5196.2</v>
      </c>
      <c r="C30" s="860">
        <v>5196.2</v>
      </c>
      <c r="D30" s="860">
        <v>4146</v>
      </c>
      <c r="E30" s="860">
        <v>4146</v>
      </c>
      <c r="F30" s="860" t="e">
        <f>'ВЕД.СТ Пр.2.'!#REF!</f>
        <v>#REF!</v>
      </c>
      <c r="G30" s="864" t="e">
        <f t="shared" si="0"/>
        <v>#REF!</v>
      </c>
      <c r="H30" s="864">
        <v>6750.044175</v>
      </c>
    </row>
    <row r="31" spans="1:8" ht="12.75">
      <c r="A31" s="860" t="s">
        <v>182</v>
      </c>
      <c r="B31" s="860">
        <v>598.5</v>
      </c>
      <c r="C31" s="860">
        <v>598.5</v>
      </c>
      <c r="D31" s="860">
        <v>659</v>
      </c>
      <c r="E31" s="860">
        <v>659</v>
      </c>
      <c r="F31" s="860" t="e">
        <f>'ВЕД.СТ Пр.2.'!#REF!</f>
        <v>#REF!</v>
      </c>
      <c r="G31" s="860" t="e">
        <f t="shared" si="0"/>
        <v>#REF!</v>
      </c>
      <c r="H31" s="864">
        <v>1167.798</v>
      </c>
    </row>
    <row r="32" spans="1:8" ht="12.75">
      <c r="A32" s="860" t="s">
        <v>183</v>
      </c>
      <c r="B32" s="860">
        <v>5732</v>
      </c>
      <c r="C32" s="860">
        <v>5204.4</v>
      </c>
      <c r="D32" s="860">
        <v>6705</v>
      </c>
      <c r="E32" s="860">
        <v>6705</v>
      </c>
      <c r="F32" s="860" t="e">
        <f>'ВЕД.СТ Пр.2.'!#REF!</f>
        <v>#REF!</v>
      </c>
      <c r="G32" s="860">
        <f>6992.6+591.4</f>
        <v>7584</v>
      </c>
      <c r="H32" s="860">
        <f>7482.1+632.8</f>
        <v>8114.900000000001</v>
      </c>
    </row>
    <row r="33" spans="1:8" ht="17.25" customHeight="1">
      <c r="A33" s="862" t="s">
        <v>607</v>
      </c>
      <c r="B33" s="862">
        <v>553.1</v>
      </c>
      <c r="C33" s="862">
        <v>4419.8</v>
      </c>
      <c r="D33" s="862"/>
      <c r="E33" s="862">
        <f>E11-E20</f>
        <v>6499.5</v>
      </c>
      <c r="F33" s="862" t="e">
        <f>F11-F20</f>
        <v>#REF!</v>
      </c>
      <c r="G33" s="862" t="e">
        <f>G11-G20</f>
        <v>#REF!</v>
      </c>
      <c r="H33" s="862"/>
    </row>
    <row r="34" spans="1:8" ht="15.75" customHeight="1">
      <c r="A34" s="860" t="s">
        <v>608</v>
      </c>
      <c r="B34" s="860">
        <v>-553.1</v>
      </c>
      <c r="C34" s="860">
        <v>-4419.8</v>
      </c>
      <c r="D34" s="860"/>
      <c r="E34" s="860">
        <v>-6499.5</v>
      </c>
      <c r="F34" s="860">
        <v>0</v>
      </c>
      <c r="G34" s="860">
        <v>0</v>
      </c>
      <c r="H34" s="860">
        <v>0</v>
      </c>
    </row>
    <row r="35" spans="1:8" ht="28.5" customHeight="1">
      <c r="A35" s="860" t="s">
        <v>609</v>
      </c>
      <c r="B35" s="860">
        <v>-553.1</v>
      </c>
      <c r="C35" s="860">
        <v>-4419.8</v>
      </c>
      <c r="D35" s="860"/>
      <c r="E35" s="860">
        <v>-6499.5</v>
      </c>
      <c r="F35" s="860">
        <v>0</v>
      </c>
      <c r="G35" s="860">
        <v>0</v>
      </c>
      <c r="H35" s="860">
        <v>0</v>
      </c>
    </row>
    <row r="36" spans="1:8" ht="12.75">
      <c r="A36" s="860" t="s">
        <v>610</v>
      </c>
      <c r="B36" s="860"/>
      <c r="C36" s="860"/>
      <c r="D36" s="860"/>
      <c r="E36" s="860">
        <v>0</v>
      </c>
      <c r="F36" s="860">
        <v>0</v>
      </c>
      <c r="G36" s="860"/>
      <c r="H36" s="860"/>
    </row>
    <row r="37" spans="1:8" ht="12.75">
      <c r="A37" s="860" t="s">
        <v>611</v>
      </c>
      <c r="B37" s="860">
        <v>0</v>
      </c>
      <c r="C37" s="860">
        <v>0</v>
      </c>
      <c r="D37" s="860"/>
      <c r="E37" s="860">
        <v>0</v>
      </c>
      <c r="F37" s="860">
        <v>0</v>
      </c>
      <c r="G37" s="860">
        <v>0</v>
      </c>
      <c r="H37" s="860">
        <v>0</v>
      </c>
    </row>
    <row r="38" spans="1:8" ht="12.75">
      <c r="A38" s="860" t="s">
        <v>821</v>
      </c>
      <c r="B38" s="860"/>
      <c r="C38" s="860"/>
      <c r="D38" s="860"/>
      <c r="E38" s="860"/>
      <c r="F38" s="860"/>
      <c r="G38" s="860"/>
      <c r="H38" s="860"/>
    </row>
    <row r="39" spans="1:8" ht="15" customHeight="1">
      <c r="A39" s="860" t="s">
        <v>177</v>
      </c>
      <c r="B39" s="860">
        <v>0</v>
      </c>
      <c r="C39" s="860">
        <v>0</v>
      </c>
      <c r="D39" s="860"/>
      <c r="E39" s="860">
        <v>0</v>
      </c>
      <c r="F39" s="860">
        <v>0</v>
      </c>
      <c r="G39" s="860">
        <v>0</v>
      </c>
      <c r="H39" s="860">
        <v>0</v>
      </c>
    </row>
    <row r="40" spans="1:8" ht="12.75">
      <c r="A40" s="860" t="s">
        <v>178</v>
      </c>
      <c r="B40" s="860"/>
      <c r="C40" s="860"/>
      <c r="D40" s="860"/>
      <c r="E40" s="860"/>
      <c r="F40" s="860"/>
      <c r="G40" s="860"/>
      <c r="H40" s="860"/>
    </row>
    <row r="41" spans="1:8" ht="39" customHeight="1">
      <c r="A41" s="860" t="s">
        <v>179</v>
      </c>
      <c r="B41" s="860"/>
      <c r="C41" s="860"/>
      <c r="D41" s="860"/>
      <c r="E41" s="860"/>
      <c r="F41" s="860"/>
      <c r="G41" s="860"/>
      <c r="H41" s="860"/>
    </row>
    <row r="42" spans="1:8" ht="27" customHeight="1">
      <c r="A42" s="860" t="s">
        <v>181</v>
      </c>
      <c r="B42" s="860"/>
      <c r="C42" s="860"/>
      <c r="D42" s="860"/>
      <c r="E42" s="860"/>
      <c r="F42" s="860"/>
      <c r="G42" s="860"/>
      <c r="H42" s="860"/>
    </row>
    <row r="43" spans="1:8" ht="26.25" customHeight="1">
      <c r="A43" s="860" t="s">
        <v>184</v>
      </c>
      <c r="B43" s="860">
        <v>-0.01</v>
      </c>
      <c r="C43" s="860">
        <v>-0.07</v>
      </c>
      <c r="D43" s="860"/>
      <c r="E43" s="860">
        <v>-0.1</v>
      </c>
      <c r="F43" s="860">
        <v>0</v>
      </c>
      <c r="G43" s="860">
        <v>0</v>
      </c>
      <c r="H43" s="860">
        <v>0</v>
      </c>
    </row>
    <row r="45" ht="12.75">
      <c r="A45" t="s">
        <v>186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C1">
      <selection activeCell="M18" sqref="M18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>
      <c r="A1" s="3016" t="s">
        <v>1264</v>
      </c>
      <c r="B1" s="3016"/>
      <c r="C1" s="3016"/>
      <c r="D1" s="3016"/>
      <c r="E1" s="3016"/>
      <c r="F1" s="3016"/>
      <c r="G1" s="3016"/>
      <c r="H1" s="3016"/>
      <c r="I1" s="3016"/>
    </row>
    <row r="2" spans="1:9" ht="15.75">
      <c r="A2" s="3016" t="str">
        <f>'Бюд.р.'!D116</f>
        <v>№ 02-03-02 от 14.01.2015</v>
      </c>
      <c r="B2" s="3016"/>
      <c r="C2" s="3016"/>
      <c r="D2" s="3016"/>
      <c r="E2" s="3016"/>
      <c r="F2" s="3016"/>
      <c r="G2" s="3016"/>
      <c r="H2" s="3016"/>
      <c r="I2" s="3016"/>
    </row>
    <row r="3" spans="1:9" ht="15.75" hidden="1">
      <c r="A3" s="3016"/>
      <c r="B3" s="3016"/>
      <c r="C3" s="3016"/>
      <c r="D3" s="3016"/>
      <c r="E3" s="3016"/>
      <c r="F3" s="3016"/>
      <c r="G3" s="3016"/>
      <c r="H3" s="3016"/>
      <c r="I3" s="3016"/>
    </row>
    <row r="4" spans="1:9" ht="15.75" hidden="1">
      <c r="A4" s="3016"/>
      <c r="B4" s="3016"/>
      <c r="C4" s="3016"/>
      <c r="D4" s="3016"/>
      <c r="E4" s="3016"/>
      <c r="F4" s="3016"/>
      <c r="G4" s="3016"/>
      <c r="H4" s="3016"/>
      <c r="I4" s="3016"/>
    </row>
    <row r="5" spans="1:9" ht="15.75" hidden="1">
      <c r="A5" s="885"/>
      <c r="G5" s="2911"/>
      <c r="H5" s="2911"/>
      <c r="I5" s="2911"/>
    </row>
    <row r="6" spans="1:9" ht="15.75">
      <c r="A6" s="3019" t="s">
        <v>555</v>
      </c>
      <c r="B6" s="3019"/>
      <c r="C6" s="3019"/>
      <c r="D6" s="3019"/>
      <c r="E6" s="3019"/>
      <c r="F6" s="3019"/>
      <c r="G6" s="3019"/>
      <c r="H6" s="3019"/>
      <c r="I6" s="3019"/>
    </row>
    <row r="7" spans="1:9" ht="15.75">
      <c r="A7" s="3019" t="s">
        <v>1363</v>
      </c>
      <c r="B7" s="3019"/>
      <c r="C7" s="3019"/>
      <c r="D7" s="3019"/>
      <c r="E7" s="3019"/>
      <c r="F7" s="3019"/>
      <c r="G7" s="3019"/>
      <c r="H7" s="3019"/>
      <c r="I7" s="3019"/>
    </row>
    <row r="8" spans="1:9" ht="13.5" thickBot="1">
      <c r="A8" s="3020" t="s">
        <v>530</v>
      </c>
      <c r="B8" s="3020"/>
      <c r="C8" s="3020"/>
      <c r="D8" s="3020"/>
      <c r="E8" s="3020"/>
      <c r="F8" s="3020"/>
      <c r="G8" s="3020"/>
      <c r="H8" s="3020"/>
      <c r="I8" s="3020"/>
    </row>
    <row r="9" spans="1:9" ht="12.75" customHeight="1">
      <c r="A9" s="3021" t="s">
        <v>531</v>
      </c>
      <c r="B9" s="3024" t="s">
        <v>532</v>
      </c>
      <c r="C9" s="3030" t="s">
        <v>548</v>
      </c>
      <c r="D9" s="3030" t="s">
        <v>549</v>
      </c>
      <c r="E9" s="3031" t="s">
        <v>533</v>
      </c>
      <c r="F9" s="3032"/>
      <c r="G9" s="3032"/>
      <c r="H9" s="3033"/>
      <c r="I9" s="3027" t="s">
        <v>550</v>
      </c>
    </row>
    <row r="10" spans="1:9" ht="12.75" customHeight="1">
      <c r="A10" s="3022"/>
      <c r="B10" s="3025"/>
      <c r="C10" s="3017"/>
      <c r="D10" s="3017"/>
      <c r="E10" s="887" t="s">
        <v>534</v>
      </c>
      <c r="F10" s="887" t="s">
        <v>536</v>
      </c>
      <c r="G10" s="887" t="s">
        <v>537</v>
      </c>
      <c r="H10" s="887" t="s">
        <v>538</v>
      </c>
      <c r="I10" s="3028"/>
    </row>
    <row r="11" spans="1:9" ht="12.75">
      <c r="A11" s="3022"/>
      <c r="B11" s="3025"/>
      <c r="C11" s="3017"/>
      <c r="D11" s="3017"/>
      <c r="E11" s="3017" t="s">
        <v>535</v>
      </c>
      <c r="F11" s="3017" t="s">
        <v>535</v>
      </c>
      <c r="G11" s="3017" t="s">
        <v>535</v>
      </c>
      <c r="H11" s="3017" t="s">
        <v>535</v>
      </c>
      <c r="I11" s="3028"/>
    </row>
    <row r="12" spans="1:9" ht="12.75">
      <c r="A12" s="3022"/>
      <c r="B12" s="3025"/>
      <c r="C12" s="3017"/>
      <c r="D12" s="3017"/>
      <c r="E12" s="3017"/>
      <c r="F12" s="3017"/>
      <c r="G12" s="3017"/>
      <c r="H12" s="3017"/>
      <c r="I12" s="3028"/>
    </row>
    <row r="13" spans="1:9" ht="12.75">
      <c r="A13" s="3022"/>
      <c r="B13" s="3025"/>
      <c r="C13" s="3017"/>
      <c r="D13" s="3017"/>
      <c r="E13" s="3017"/>
      <c r="F13" s="3017"/>
      <c r="G13" s="3017"/>
      <c r="H13" s="3017"/>
      <c r="I13" s="3028"/>
    </row>
    <row r="14" spans="1:9" ht="12.75">
      <c r="A14" s="3022"/>
      <c r="B14" s="3025"/>
      <c r="C14" s="3017"/>
      <c r="D14" s="3017"/>
      <c r="E14" s="3017"/>
      <c r="F14" s="3017"/>
      <c r="G14" s="3017"/>
      <c r="H14" s="3017"/>
      <c r="I14" s="3028"/>
    </row>
    <row r="15" spans="1:9" ht="13.5" thickBot="1">
      <c r="A15" s="3023"/>
      <c r="B15" s="3026"/>
      <c r="C15" s="3018"/>
      <c r="D15" s="3018"/>
      <c r="E15" s="3018"/>
      <c r="F15" s="3018"/>
      <c r="G15" s="3018"/>
      <c r="H15" s="3018"/>
      <c r="I15" s="3029"/>
    </row>
    <row r="16" spans="1:9" ht="15.75" customHeight="1" thickBot="1">
      <c r="A16" s="893" t="s">
        <v>539</v>
      </c>
      <c r="B16" s="894" t="s">
        <v>540</v>
      </c>
      <c r="C16" s="894">
        <v>1</v>
      </c>
      <c r="D16" s="894" t="s">
        <v>541</v>
      </c>
      <c r="E16" s="894">
        <v>3</v>
      </c>
      <c r="F16" s="894">
        <v>4</v>
      </c>
      <c r="G16" s="894">
        <v>5</v>
      </c>
      <c r="H16" s="894">
        <v>6</v>
      </c>
      <c r="I16" s="895" t="s">
        <v>542</v>
      </c>
    </row>
    <row r="17" spans="1:9" ht="15.75">
      <c r="A17" s="896">
        <v>1</v>
      </c>
      <c r="B17" s="891" t="s">
        <v>543</v>
      </c>
      <c r="C17" s="892">
        <f>D17</f>
        <v>118000</v>
      </c>
      <c r="D17" s="892">
        <f>SUM(E17:H17)</f>
        <v>118000</v>
      </c>
      <c r="E17" s="892">
        <f>кв!E98</f>
        <v>20818.868000000002</v>
      </c>
      <c r="F17" s="892">
        <f>кв!F98</f>
        <v>28816.468</v>
      </c>
      <c r="G17" s="892">
        <f>кв!G98</f>
        <v>36929.868</v>
      </c>
      <c r="H17" s="892">
        <f>кв!H98</f>
        <v>31434.796000000002</v>
      </c>
      <c r="I17" s="897">
        <f>D17-C17</f>
        <v>0</v>
      </c>
    </row>
    <row r="18" spans="1:9" ht="15.75">
      <c r="A18" s="898">
        <v>2</v>
      </c>
      <c r="B18" s="889" t="s">
        <v>544</v>
      </c>
      <c r="C18" s="888">
        <f>D18</f>
        <v>124999.99999999999</v>
      </c>
      <c r="D18" s="888">
        <f>SUM(E18:H18)</f>
        <v>124999.99999999999</v>
      </c>
      <c r="E18" s="888">
        <f>'Бюд.р.'!I600</f>
        <v>17891.748</v>
      </c>
      <c r="F18" s="888">
        <f>'Бюд.р.'!J600</f>
        <v>30011.135</v>
      </c>
      <c r="G18" s="888">
        <f>'Бюд.р.'!K600</f>
        <v>60439.87899999999</v>
      </c>
      <c r="H18" s="888">
        <f>'Бюд.р.'!L600</f>
        <v>16657.237999999998</v>
      </c>
      <c r="I18" s="899">
        <f>D18-C18</f>
        <v>0</v>
      </c>
    </row>
    <row r="19" spans="1:9" ht="15.75" customHeight="1">
      <c r="A19" s="3008">
        <v>3</v>
      </c>
      <c r="B19" s="3009" t="s">
        <v>545</v>
      </c>
      <c r="C19" s="3007">
        <f>D19</f>
        <v>-6999.999999999982</v>
      </c>
      <c r="D19" s="3007">
        <f>SUM(E19:H20)</f>
        <v>-6999.999999999982</v>
      </c>
      <c r="E19" s="3007">
        <f>E17-E18</f>
        <v>2927.1200000000026</v>
      </c>
      <c r="F19" s="3007">
        <f>F17-F18</f>
        <v>-1194.6669999999976</v>
      </c>
      <c r="G19" s="3007">
        <f>G17-G18</f>
        <v>-23510.01099999999</v>
      </c>
      <c r="H19" s="3007">
        <f>H17-H18</f>
        <v>14777.558000000005</v>
      </c>
      <c r="I19" s="3012">
        <f>D19-C19</f>
        <v>0</v>
      </c>
    </row>
    <row r="20" spans="1:9" ht="12.75" hidden="1">
      <c r="A20" s="3008"/>
      <c r="B20" s="3009"/>
      <c r="C20" s="3007"/>
      <c r="D20" s="3007"/>
      <c r="E20" s="3007"/>
      <c r="F20" s="3007"/>
      <c r="G20" s="3007"/>
      <c r="H20" s="3007"/>
      <c r="I20" s="3012"/>
    </row>
    <row r="21" spans="1:9" ht="15" customHeight="1">
      <c r="A21" s="3010">
        <v>4</v>
      </c>
      <c r="B21" s="3011" t="s">
        <v>551</v>
      </c>
      <c r="C21" s="3007">
        <f>D21</f>
        <v>6999.999999999982</v>
      </c>
      <c r="D21" s="3007">
        <f>SUM(E21:H22)</f>
        <v>6999.999999999982</v>
      </c>
      <c r="E21" s="3007">
        <f>кв!E99</f>
        <v>-2927.1200000000026</v>
      </c>
      <c r="F21" s="3007">
        <f>кв!F99</f>
        <v>1194.6669999999976</v>
      </c>
      <c r="G21" s="3007">
        <f>кв!G99</f>
        <v>23510.01099999999</v>
      </c>
      <c r="H21" s="3007">
        <f>кв!H99</f>
        <v>-14777.558000000005</v>
      </c>
      <c r="I21" s="3012">
        <f>D21-C21</f>
        <v>0</v>
      </c>
    </row>
    <row r="22" spans="1:9" ht="13.5" customHeight="1" hidden="1" thickBot="1">
      <c r="A22" s="3010"/>
      <c r="B22" s="3011"/>
      <c r="C22" s="3007"/>
      <c r="D22" s="3007"/>
      <c r="E22" s="3007"/>
      <c r="F22" s="3007"/>
      <c r="G22" s="3007"/>
      <c r="H22" s="3007"/>
      <c r="I22" s="3012"/>
    </row>
    <row r="23" spans="1:9" ht="15" customHeight="1">
      <c r="A23" s="898">
        <v>5</v>
      </c>
      <c r="B23" s="890" t="s">
        <v>546</v>
      </c>
      <c r="C23" s="886">
        <f>D23</f>
        <v>0</v>
      </c>
      <c r="D23" s="886">
        <f>SUM(E23:H23)</f>
        <v>0</v>
      </c>
      <c r="E23" s="886">
        <v>0</v>
      </c>
      <c r="F23" s="886">
        <v>0</v>
      </c>
      <c r="G23" s="886">
        <v>0</v>
      </c>
      <c r="H23" s="886">
        <v>0</v>
      </c>
      <c r="I23" s="899">
        <v>0</v>
      </c>
    </row>
    <row r="24" spans="1:9" ht="15.75" customHeight="1">
      <c r="A24" s="3010">
        <v>6</v>
      </c>
      <c r="B24" s="3011" t="s">
        <v>552</v>
      </c>
      <c r="C24" s="3007">
        <f>D24</f>
        <v>0</v>
      </c>
      <c r="D24" s="3007">
        <f>SUM(E24:H26)</f>
        <v>0</v>
      </c>
      <c r="E24" s="3007">
        <v>0</v>
      </c>
      <c r="F24" s="3007">
        <v>0</v>
      </c>
      <c r="G24" s="3007">
        <v>0</v>
      </c>
      <c r="H24" s="3007">
        <v>0</v>
      </c>
      <c r="I24" s="3012">
        <v>0</v>
      </c>
    </row>
    <row r="25" spans="1:9" ht="14.25" customHeight="1">
      <c r="A25" s="3010"/>
      <c r="B25" s="3011"/>
      <c r="C25" s="3007"/>
      <c r="D25" s="3007"/>
      <c r="E25" s="3007"/>
      <c r="F25" s="3007"/>
      <c r="G25" s="3007"/>
      <c r="H25" s="3007"/>
      <c r="I25" s="3012"/>
    </row>
    <row r="26" spans="1:9" ht="12.75" hidden="1">
      <c r="A26" s="3010"/>
      <c r="B26" s="3011"/>
      <c r="C26" s="3007"/>
      <c r="D26" s="3007"/>
      <c r="E26" s="3007"/>
      <c r="F26" s="3007"/>
      <c r="G26" s="3007"/>
      <c r="H26" s="3007"/>
      <c r="I26" s="3012"/>
    </row>
    <row r="27" spans="1:9" ht="15.75" customHeight="1">
      <c r="A27" s="3010">
        <v>7</v>
      </c>
      <c r="B27" s="3011" t="s">
        <v>557</v>
      </c>
      <c r="C27" s="3007">
        <f>D27</f>
        <v>0</v>
      </c>
      <c r="D27" s="3007">
        <f>SUM(E27:H30)</f>
        <v>0</v>
      </c>
      <c r="E27" s="3007">
        <v>0</v>
      </c>
      <c r="F27" s="3007">
        <v>0</v>
      </c>
      <c r="G27" s="3007">
        <v>0</v>
      </c>
      <c r="H27" s="3007">
        <v>0</v>
      </c>
      <c r="I27" s="3012"/>
    </row>
    <row r="28" spans="1:9" ht="12.75">
      <c r="A28" s="3010"/>
      <c r="B28" s="3011"/>
      <c r="C28" s="3007"/>
      <c r="D28" s="3007"/>
      <c r="E28" s="3007"/>
      <c r="F28" s="3007"/>
      <c r="G28" s="3007"/>
      <c r="H28" s="3007"/>
      <c r="I28" s="3012"/>
    </row>
    <row r="29" spans="1:9" ht="3" customHeight="1">
      <c r="A29" s="3010"/>
      <c r="B29" s="3011"/>
      <c r="C29" s="3007"/>
      <c r="D29" s="3007"/>
      <c r="E29" s="3007"/>
      <c r="F29" s="3007"/>
      <c r="G29" s="3007"/>
      <c r="H29" s="3007"/>
      <c r="I29" s="3012"/>
    </row>
    <row r="30" spans="1:9" ht="6.75" customHeight="1" hidden="1">
      <c r="A30" s="3010"/>
      <c r="B30" s="3011"/>
      <c r="C30" s="3007"/>
      <c r="D30" s="3007"/>
      <c r="E30" s="3007"/>
      <c r="F30" s="3007"/>
      <c r="G30" s="3007"/>
      <c r="H30" s="3007"/>
      <c r="I30" s="3012"/>
    </row>
    <row r="31" spans="1:9" ht="15.75" customHeight="1">
      <c r="A31" s="3010">
        <v>8</v>
      </c>
      <c r="B31" s="3011" t="s">
        <v>558</v>
      </c>
      <c r="C31" s="3007">
        <f>D31</f>
        <v>0</v>
      </c>
      <c r="D31" s="3007">
        <v>0</v>
      </c>
      <c r="E31" s="3007">
        <v>0</v>
      </c>
      <c r="F31" s="3007">
        <v>0</v>
      </c>
      <c r="G31" s="3007">
        <v>0</v>
      </c>
      <c r="H31" s="3007">
        <v>0</v>
      </c>
      <c r="I31" s="3012">
        <v>0</v>
      </c>
    </row>
    <row r="32" spans="1:9" ht="12.75">
      <c r="A32" s="3010"/>
      <c r="B32" s="3011"/>
      <c r="C32" s="3007"/>
      <c r="D32" s="3007"/>
      <c r="E32" s="3007"/>
      <c r="F32" s="3007"/>
      <c r="G32" s="3007"/>
      <c r="H32" s="3007"/>
      <c r="I32" s="3012"/>
    </row>
    <row r="33" spans="1:9" ht="2.25" customHeight="1">
      <c r="A33" s="3010"/>
      <c r="B33" s="3011"/>
      <c r="C33" s="3007"/>
      <c r="D33" s="3007"/>
      <c r="E33" s="3007"/>
      <c r="F33" s="3007"/>
      <c r="G33" s="3007"/>
      <c r="H33" s="3007"/>
      <c r="I33" s="3012"/>
    </row>
    <row r="34" spans="1:9" ht="15.75" customHeight="1">
      <c r="A34" s="3010">
        <v>9</v>
      </c>
      <c r="B34" s="3011" t="s">
        <v>559</v>
      </c>
      <c r="C34" s="3007">
        <f>D34</f>
        <v>0</v>
      </c>
      <c r="D34" s="3007">
        <v>0</v>
      </c>
      <c r="E34" s="3013">
        <v>0</v>
      </c>
      <c r="F34" s="3013">
        <v>0</v>
      </c>
      <c r="G34" s="3013">
        <v>0</v>
      </c>
      <c r="H34" s="3013">
        <v>0</v>
      </c>
      <c r="I34" s="3012">
        <v>0</v>
      </c>
    </row>
    <row r="35" spans="1:9" ht="12" customHeight="1">
      <c r="A35" s="3010"/>
      <c r="B35" s="3011"/>
      <c r="C35" s="3007"/>
      <c r="D35" s="3007"/>
      <c r="E35" s="3014"/>
      <c r="F35" s="3014"/>
      <c r="G35" s="3014"/>
      <c r="H35" s="3014"/>
      <c r="I35" s="3012"/>
    </row>
    <row r="36" spans="1:9" ht="20.25" customHeight="1" hidden="1">
      <c r="A36" s="3010"/>
      <c r="B36" s="3011"/>
      <c r="C36" s="3007"/>
      <c r="D36" s="3007"/>
      <c r="E36" s="3015"/>
      <c r="F36" s="3015"/>
      <c r="G36" s="3015"/>
      <c r="H36" s="3015"/>
      <c r="I36" s="3012"/>
    </row>
    <row r="37" spans="1:9" ht="27.75" customHeight="1">
      <c r="A37" s="898">
        <v>10</v>
      </c>
      <c r="B37" s="890" t="s">
        <v>554</v>
      </c>
      <c r="C37" s="886">
        <f>D37</f>
        <v>0</v>
      </c>
      <c r="D37" s="886">
        <v>0</v>
      </c>
      <c r="E37" s="886">
        <v>0</v>
      </c>
      <c r="F37" s="886">
        <v>0</v>
      </c>
      <c r="G37" s="886">
        <v>0</v>
      </c>
      <c r="H37" s="886">
        <v>0</v>
      </c>
      <c r="I37" s="899">
        <v>0</v>
      </c>
    </row>
    <row r="38" spans="1:9" ht="32.25" customHeight="1" thickBot="1">
      <c r="A38" s="900">
        <v>11</v>
      </c>
      <c r="B38" s="901" t="s">
        <v>553</v>
      </c>
      <c r="C38" s="902">
        <f>D38</f>
        <v>0</v>
      </c>
      <c r="D38" s="902">
        <v>0</v>
      </c>
      <c r="E38" s="902">
        <v>0</v>
      </c>
      <c r="F38" s="902">
        <v>0</v>
      </c>
      <c r="G38" s="902">
        <v>0</v>
      </c>
      <c r="H38" s="902">
        <v>0</v>
      </c>
      <c r="I38" s="903">
        <v>0</v>
      </c>
    </row>
    <row r="39" ht="15.75">
      <c r="A39" s="884" t="s">
        <v>547</v>
      </c>
    </row>
    <row r="40" ht="15.75">
      <c r="A40" s="884" t="s">
        <v>556</v>
      </c>
    </row>
    <row r="41" ht="15.75">
      <c r="A41" s="884" t="s">
        <v>1364</v>
      </c>
    </row>
    <row r="42" ht="15.75">
      <c r="A42" s="884"/>
    </row>
    <row r="43" ht="15.75">
      <c r="A43" s="883"/>
    </row>
    <row r="44" ht="15.75">
      <c r="A44" s="884"/>
    </row>
  </sheetData>
  <sheetProtection/>
  <mergeCells count="72"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F34:F36"/>
    <mergeCell ref="G34:G36"/>
    <mergeCell ref="D31:D33"/>
    <mergeCell ref="E31:E33"/>
    <mergeCell ref="F31:F33"/>
    <mergeCell ref="G31:G33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I21:I22"/>
    <mergeCell ref="B24:B26"/>
    <mergeCell ref="C27:C30"/>
    <mergeCell ref="I27:I30"/>
    <mergeCell ref="D27:D30"/>
    <mergeCell ref="G24:G26"/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5"/>
  <sheetViews>
    <sheetView zoomScale="87" zoomScaleNormal="87" zoomScalePageLayoutView="0" workbookViewId="0" topLeftCell="C48">
      <selection activeCell="K134" sqref="K134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8.625" style="0" customWidth="1"/>
    <col min="4" max="4" width="8.375" style="0" customWidth="1"/>
    <col min="5" max="5" width="10.375" style="0" customWidth="1"/>
    <col min="6" max="6" width="5.75390625" style="0" customWidth="1"/>
    <col min="7" max="7" width="12.875" style="0" customWidth="1"/>
    <col min="8" max="8" width="11.375" style="0" customWidth="1"/>
    <col min="9" max="9" width="11.625" style="0" customWidth="1"/>
  </cols>
  <sheetData>
    <row r="1" spans="1:9" ht="15">
      <c r="A1" s="910"/>
      <c r="B1" s="3034" t="s">
        <v>978</v>
      </c>
      <c r="C1" s="3034"/>
      <c r="D1" s="3034"/>
      <c r="E1" s="3034"/>
      <c r="F1" s="3034"/>
      <c r="G1" s="3034"/>
      <c r="H1" s="3034"/>
      <c r="I1" s="3034"/>
    </row>
    <row r="2" spans="1:9" ht="15">
      <c r="A2" s="910"/>
      <c r="B2" s="3034" t="s">
        <v>1103</v>
      </c>
      <c r="C2" s="3034"/>
      <c r="D2" s="3034"/>
      <c r="E2" s="3034"/>
      <c r="F2" s="3034"/>
      <c r="G2" s="3034"/>
      <c r="H2" s="3034"/>
      <c r="I2" s="3034"/>
    </row>
    <row r="3" spans="1:9" ht="15">
      <c r="A3" s="910"/>
      <c r="B3" s="3034" t="s">
        <v>1328</v>
      </c>
      <c r="C3" s="3034"/>
      <c r="D3" s="3034"/>
      <c r="E3" s="3034"/>
      <c r="F3" s="3034"/>
      <c r="G3" s="3034"/>
      <c r="H3" s="3034"/>
      <c r="I3" s="3034"/>
    </row>
    <row r="4" spans="1:9" ht="15">
      <c r="A4" s="910"/>
      <c r="B4" s="3034" t="s">
        <v>1367</v>
      </c>
      <c r="C4" s="3034"/>
      <c r="D4" s="3034"/>
      <c r="E4" s="3034"/>
      <c r="F4" s="3034"/>
      <c r="G4" s="3034"/>
      <c r="H4" s="3034"/>
      <c r="I4" s="3034"/>
    </row>
    <row r="5" spans="1:9" ht="15">
      <c r="A5" s="910"/>
      <c r="B5" s="3034" t="s">
        <v>1368</v>
      </c>
      <c r="C5" s="3034"/>
      <c r="D5" s="3034"/>
      <c r="E5" s="3034"/>
      <c r="F5" s="3034"/>
      <c r="G5" s="3034"/>
      <c r="H5" s="3034"/>
      <c r="I5" s="3034"/>
    </row>
    <row r="6" spans="1:9" ht="15.75" customHeight="1">
      <c r="A6" s="3060" t="s">
        <v>1105</v>
      </c>
      <c r="B6" s="3060"/>
      <c r="C6" s="3060"/>
      <c r="D6" s="3060"/>
      <c r="E6" s="3060"/>
      <c r="F6" s="3060"/>
      <c r="G6" s="3060"/>
      <c r="H6" s="3060"/>
      <c r="I6" s="3060"/>
    </row>
    <row r="7" spans="1:9" ht="15.75" customHeight="1">
      <c r="A7" s="3060" t="s">
        <v>1106</v>
      </c>
      <c r="B7" s="3060"/>
      <c r="C7" s="3060"/>
      <c r="D7" s="3060"/>
      <c r="E7" s="3060"/>
      <c r="F7" s="3060"/>
      <c r="G7" s="3060"/>
      <c r="H7" s="3060"/>
      <c r="I7" s="3060"/>
    </row>
    <row r="8" spans="1:9" ht="19.5" thickBot="1">
      <c r="A8" s="3061" t="s">
        <v>1329</v>
      </c>
      <c r="B8" s="3061"/>
      <c r="C8" s="3061"/>
      <c r="D8" s="3061"/>
      <c r="E8" s="3061"/>
      <c r="F8" s="3061"/>
      <c r="G8" s="3061"/>
      <c r="H8" s="3061"/>
      <c r="I8" s="3061"/>
    </row>
    <row r="9" spans="1:9" ht="58.5">
      <c r="A9" s="1427"/>
      <c r="B9" s="3037" t="s">
        <v>1121</v>
      </c>
      <c r="C9" s="3038"/>
      <c r="D9" s="3038"/>
      <c r="E9" s="3038"/>
      <c r="F9" s="3038"/>
      <c r="G9" s="2678" t="s">
        <v>1365</v>
      </c>
      <c r="H9" s="3035" t="s">
        <v>1366</v>
      </c>
      <c r="I9" s="3036"/>
    </row>
    <row r="10" spans="1:9" ht="19.5" thickBot="1">
      <c r="A10" s="1427"/>
      <c r="B10" s="3039"/>
      <c r="C10" s="3040"/>
      <c r="D10" s="3040"/>
      <c r="E10" s="3040"/>
      <c r="F10" s="3040"/>
      <c r="G10" s="2675" t="s">
        <v>1331</v>
      </c>
      <c r="H10" s="2676">
        <v>2016</v>
      </c>
      <c r="I10" s="2677">
        <v>2017</v>
      </c>
    </row>
    <row r="11" spans="1:9" ht="31.5" customHeight="1" thickBot="1">
      <c r="A11" s="1434"/>
      <c r="B11" s="3044" t="s">
        <v>1108</v>
      </c>
      <c r="C11" s="3045"/>
      <c r="D11" s="3045"/>
      <c r="E11" s="3045"/>
      <c r="F11" s="3045"/>
      <c r="G11" s="2673">
        <f>SUM(G12:G14)</f>
        <v>117659</v>
      </c>
      <c r="H11" s="2673">
        <f>SUM(H12:H14)</f>
        <v>124026.585</v>
      </c>
      <c r="I11" s="2674">
        <f>SUM(I12:I14)</f>
        <v>130470.44925000002</v>
      </c>
    </row>
    <row r="12" spans="1:9" ht="18.75">
      <c r="A12" s="1435"/>
      <c r="B12" s="3062" t="s">
        <v>822</v>
      </c>
      <c r="C12" s="3063"/>
      <c r="D12" s="3063"/>
      <c r="E12" s="3063"/>
      <c r="F12" s="3064"/>
      <c r="G12" s="2513">
        <f>Доходы!E7</f>
        <v>99084.9</v>
      </c>
      <c r="H12" s="2569">
        <f>G12*1.05</f>
        <v>104039.145</v>
      </c>
      <c r="I12" s="2570">
        <f>H12*1.05</f>
        <v>109241.10225000001</v>
      </c>
    </row>
    <row r="13" spans="1:9" ht="18.75">
      <c r="A13" s="1435"/>
      <c r="B13" s="3057" t="s">
        <v>823</v>
      </c>
      <c r="C13" s="3058"/>
      <c r="D13" s="3058"/>
      <c r="E13" s="3058"/>
      <c r="F13" s="3059"/>
      <c r="G13" s="2514">
        <f>Доходы!E29</f>
        <v>2626.8</v>
      </c>
      <c r="H13" s="2571">
        <f>G13*1.05</f>
        <v>2758.1400000000003</v>
      </c>
      <c r="I13" s="2572">
        <f>H13*1.05</f>
        <v>2896.0470000000005</v>
      </c>
    </row>
    <row r="14" spans="1:9" ht="18.75">
      <c r="A14" s="1435"/>
      <c r="B14" s="3057" t="s">
        <v>1111</v>
      </c>
      <c r="C14" s="3058"/>
      <c r="D14" s="3058"/>
      <c r="E14" s="3058"/>
      <c r="F14" s="3059"/>
      <c r="G14" s="2514">
        <f>SUM(G15:G19)</f>
        <v>15947.3</v>
      </c>
      <c r="H14" s="2514">
        <f>SUM(H15:H19)</f>
        <v>17229.3</v>
      </c>
      <c r="I14" s="2573">
        <f>SUM(I15:I19)</f>
        <v>18333.3</v>
      </c>
    </row>
    <row r="15" spans="1:9" ht="15" customHeight="1">
      <c r="A15" s="1435"/>
      <c r="B15" s="3046" t="s">
        <v>423</v>
      </c>
      <c r="C15" s="3047"/>
      <c r="D15" s="3047"/>
      <c r="E15" s="3047"/>
      <c r="F15" s="3048"/>
      <c r="G15" s="2515">
        <v>0</v>
      </c>
      <c r="H15" s="2574">
        <v>0</v>
      </c>
      <c r="I15" s="2575">
        <v>0</v>
      </c>
    </row>
    <row r="16" spans="1:9" ht="31.5" customHeight="1">
      <c r="A16" s="1435"/>
      <c r="B16" s="3046" t="str">
        <f>Доходы!D76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6" s="3047"/>
      <c r="D16" s="3047"/>
      <c r="E16" s="3047"/>
      <c r="F16" s="3048"/>
      <c r="G16" s="2515">
        <f>Доходы!E76</f>
        <v>3724</v>
      </c>
      <c r="H16" s="2574">
        <f>H149</f>
        <v>4790.200000000001</v>
      </c>
      <c r="I16" s="2575">
        <f>I149</f>
        <v>5173.8</v>
      </c>
    </row>
    <row r="17" spans="1:9" ht="28.5" customHeight="1">
      <c r="A17" s="1435"/>
      <c r="B17" s="3046" t="str">
        <f>Доходы!D77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7" s="3047"/>
      <c r="D17" s="3047"/>
      <c r="E17" s="3047"/>
      <c r="F17" s="3048"/>
      <c r="G17" s="2515">
        <f>Доходы!E77</f>
        <v>5.6</v>
      </c>
      <c r="H17" s="2574">
        <f>H50</f>
        <v>5.9</v>
      </c>
      <c r="I17" s="2575">
        <f>I50</f>
        <v>6.2</v>
      </c>
    </row>
    <row r="18" spans="1:9" ht="29.25" customHeight="1">
      <c r="A18" s="1435"/>
      <c r="B18" s="3049" t="str">
        <f>Доходы!D80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8" s="3050"/>
      <c r="D18" s="3050"/>
      <c r="E18" s="3050"/>
      <c r="F18" s="3051"/>
      <c r="G18" s="2515">
        <f>Доходы!E80</f>
        <v>9259.8</v>
      </c>
      <c r="H18" s="2574">
        <f>H152</f>
        <v>9787.4</v>
      </c>
      <c r="I18" s="2575">
        <f>I152</f>
        <v>10277</v>
      </c>
    </row>
    <row r="19" spans="1:9" ht="29.25" customHeight="1" thickBot="1">
      <c r="A19" s="1435"/>
      <c r="B19" s="3052" t="str">
        <f>Доходы!D81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9" s="3053"/>
      <c r="D19" s="3053"/>
      <c r="E19" s="3053"/>
      <c r="F19" s="3054"/>
      <c r="G19" s="2516">
        <f>Доходы!E81</f>
        <v>2957.9</v>
      </c>
      <c r="H19" s="2576">
        <f>H154</f>
        <v>2645.8</v>
      </c>
      <c r="I19" s="2577">
        <f>I154</f>
        <v>2876.3</v>
      </c>
    </row>
    <row r="20" spans="1:9" ht="25.5" customHeight="1" thickBot="1">
      <c r="A20" s="1434"/>
      <c r="B20" s="3055" t="s">
        <v>1112</v>
      </c>
      <c r="C20" s="3056"/>
      <c r="D20" s="3056"/>
      <c r="E20" s="3056"/>
      <c r="F20" s="3056"/>
      <c r="G20" s="2512" t="e">
        <f>G26+G40+G23</f>
        <v>#REF!</v>
      </c>
      <c r="H20" s="2512" t="e">
        <f>H26+H40+H23</f>
        <v>#REF!</v>
      </c>
      <c r="I20" s="2517" t="e">
        <f>I26+I40+I23</f>
        <v>#REF!</v>
      </c>
    </row>
    <row r="21" spans="1:9" ht="25.5" thickBot="1">
      <c r="A21" s="1408" t="s">
        <v>828</v>
      </c>
      <c r="B21" s="2518" t="s">
        <v>254</v>
      </c>
      <c r="C21" s="2519" t="s">
        <v>443</v>
      </c>
      <c r="D21" s="2592" t="s">
        <v>267</v>
      </c>
      <c r="E21" s="2520" t="s">
        <v>1226</v>
      </c>
      <c r="F21" s="2521" t="s">
        <v>1227</v>
      </c>
      <c r="G21" s="2522" t="s">
        <v>1150</v>
      </c>
      <c r="H21" s="2523" t="s">
        <v>1116</v>
      </c>
      <c r="I21" s="2523" t="s">
        <v>1151</v>
      </c>
    </row>
    <row r="22" spans="1:9" ht="13.5" thickBot="1">
      <c r="A22" s="306" t="s">
        <v>727</v>
      </c>
      <c r="B22" s="2524">
        <v>2</v>
      </c>
      <c r="C22" s="2525" t="s">
        <v>471</v>
      </c>
      <c r="D22" s="2526" t="s">
        <v>680</v>
      </c>
      <c r="E22" s="2526" t="s">
        <v>326</v>
      </c>
      <c r="F22" s="2527" t="s">
        <v>327</v>
      </c>
      <c r="G22" s="2528">
        <v>7</v>
      </c>
      <c r="H22" s="2529">
        <v>8</v>
      </c>
      <c r="I22" s="2529">
        <v>9</v>
      </c>
    </row>
    <row r="23" spans="1:9" ht="13.5" hidden="1" thickBot="1">
      <c r="A23" s="1787"/>
      <c r="B23" s="2530" t="s">
        <v>1135</v>
      </c>
      <c r="C23" s="2531" t="s">
        <v>858</v>
      </c>
      <c r="D23" s="2532"/>
      <c r="E23" s="2532"/>
      <c r="F23" s="2533"/>
      <c r="G23" s="2534">
        <f aca="true" t="shared" si="0" ref="G23:I24">G24</f>
        <v>0</v>
      </c>
      <c r="H23" s="2535">
        <f t="shared" si="0"/>
        <v>0</v>
      </c>
      <c r="I23" s="2535">
        <f t="shared" si="0"/>
        <v>0</v>
      </c>
    </row>
    <row r="24" spans="1:9" ht="12.75" hidden="1">
      <c r="A24" s="1787"/>
      <c r="B24" s="1825" t="s">
        <v>111</v>
      </c>
      <c r="C24" s="1666">
        <v>917</v>
      </c>
      <c r="D24" s="1666" t="s">
        <v>456</v>
      </c>
      <c r="E24" s="1826"/>
      <c r="F24" s="1828"/>
      <c r="G24" s="1831">
        <f t="shared" si="0"/>
        <v>0</v>
      </c>
      <c r="H24" s="1781">
        <f t="shared" si="0"/>
        <v>0</v>
      </c>
      <c r="I24" s="1781">
        <f t="shared" si="0"/>
        <v>0</v>
      </c>
    </row>
    <row r="25" spans="1:9" ht="13.5" hidden="1" thickBot="1">
      <c r="A25" s="1787"/>
      <c r="B25" s="1827" t="str">
        <f>'Бюд.р.'!A9</f>
        <v>Обеспечение проведения выборов и референдумов</v>
      </c>
      <c r="C25" s="1773">
        <f>'Бюд.р.'!B9</f>
        <v>917</v>
      </c>
      <c r="D25" s="1773">
        <f>'Бюд.р.'!C9</f>
        <v>107</v>
      </c>
      <c r="E25" s="2536"/>
      <c r="F25" s="2537"/>
      <c r="G25" s="2538">
        <f>'Бюд.р.'!H9</f>
        <v>0</v>
      </c>
      <c r="H25" s="2539">
        <v>0</v>
      </c>
      <c r="I25" s="2539">
        <v>0</v>
      </c>
    </row>
    <row r="26" spans="1:9" ht="13.5" thickBot="1">
      <c r="A26" s="1788"/>
      <c r="B26" s="2540" t="str">
        <f>'Бюд.р.'!A57</f>
        <v>МУНИЦИПАЛЬНЫЙ СОВЕТ МО МО ОЗЕРО ДОЛГОЕ</v>
      </c>
      <c r="C26" s="2541">
        <v>925</v>
      </c>
      <c r="D26" s="2541"/>
      <c r="E26" s="2541"/>
      <c r="F26" s="2542"/>
      <c r="G26" s="2543">
        <f>G27</f>
        <v>4378</v>
      </c>
      <c r="H26" s="2543">
        <f>H27</f>
        <v>4596.900000000001</v>
      </c>
      <c r="I26" s="2544">
        <f>I27</f>
        <v>4826.745000000001</v>
      </c>
    </row>
    <row r="27" spans="1:9" ht="13.5" thickBot="1">
      <c r="A27" s="1789" t="s">
        <v>673</v>
      </c>
      <c r="B27" s="1825" t="s">
        <v>111</v>
      </c>
      <c r="C27" s="1666" t="s">
        <v>93</v>
      </c>
      <c r="D27" s="1666" t="s">
        <v>456</v>
      </c>
      <c r="E27" s="1666"/>
      <c r="F27" s="1760"/>
      <c r="G27" s="1832">
        <f>G28+G31</f>
        <v>4378</v>
      </c>
      <c r="H27" s="1832">
        <f>H28+H31</f>
        <v>4596.900000000001</v>
      </c>
      <c r="I27" s="2508">
        <f>I28+I31</f>
        <v>4826.745000000001</v>
      </c>
    </row>
    <row r="28" spans="1:9" ht="24">
      <c r="A28" s="1790" t="s">
        <v>727</v>
      </c>
      <c r="B28" s="2481" t="s">
        <v>141</v>
      </c>
      <c r="C28" s="1774" t="s">
        <v>93</v>
      </c>
      <c r="D28" s="1774" t="s">
        <v>455</v>
      </c>
      <c r="E28" s="1774"/>
      <c r="F28" s="1830"/>
      <c r="G28" s="2482">
        <f aca="true" t="shared" si="1" ref="G28:I29">G29</f>
        <v>1117.234</v>
      </c>
      <c r="H28" s="1839">
        <f t="shared" si="1"/>
        <v>1173.0957</v>
      </c>
      <c r="I28" s="1839">
        <f t="shared" si="1"/>
        <v>1231.750485</v>
      </c>
    </row>
    <row r="29" spans="1:9" ht="15" customHeight="1">
      <c r="A29" s="1791" t="s">
        <v>280</v>
      </c>
      <c r="B29" s="1818" t="s">
        <v>458</v>
      </c>
      <c r="C29" s="1665" t="s">
        <v>93</v>
      </c>
      <c r="D29" s="1665" t="s">
        <v>455</v>
      </c>
      <c r="E29" s="1665" t="s">
        <v>459</v>
      </c>
      <c r="F29" s="1759"/>
      <c r="G29" s="1833">
        <f t="shared" si="1"/>
        <v>1117.234</v>
      </c>
      <c r="H29" s="2578">
        <f t="shared" si="1"/>
        <v>1173.0957</v>
      </c>
      <c r="I29" s="2578">
        <f t="shared" si="1"/>
        <v>1231.750485</v>
      </c>
    </row>
    <row r="30" spans="1:9" ht="39" customHeight="1">
      <c r="A30" s="1792" t="s">
        <v>198</v>
      </c>
      <c r="B30" s="1818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1665" t="s">
        <v>93</v>
      </c>
      <c r="D30" s="1665" t="s">
        <v>455</v>
      </c>
      <c r="E30" s="1665" t="str">
        <f>'Бюд.р.'!D61</f>
        <v>002  01 00</v>
      </c>
      <c r="F30" s="1759">
        <f>'Бюд.р.'!F61</f>
        <v>100</v>
      </c>
      <c r="G30" s="1833">
        <f>'Бюд.р.'!H62</f>
        <v>1117.234</v>
      </c>
      <c r="H30" s="2579">
        <f>G30*1.05</f>
        <v>1173.0957</v>
      </c>
      <c r="I30" s="2579">
        <f>H30*1.05</f>
        <v>1231.750485</v>
      </c>
    </row>
    <row r="31" spans="1:9" ht="41.25" customHeight="1">
      <c r="A31" s="1792"/>
      <c r="B31" s="2483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31" s="1774">
        <v>925</v>
      </c>
      <c r="D31" s="1986" t="s">
        <v>473</v>
      </c>
      <c r="E31" s="1774"/>
      <c r="F31" s="1830"/>
      <c r="G31" s="2482">
        <f>G32+G34+G36</f>
        <v>3260.7660000000005</v>
      </c>
      <c r="H31" s="2482">
        <f>H32+H34+H36</f>
        <v>3423.8043000000007</v>
      </c>
      <c r="I31" s="1839">
        <f>I32+I34+I36</f>
        <v>3594.9945150000003</v>
      </c>
    </row>
    <row r="32" spans="1:9" ht="26.25" customHeight="1">
      <c r="A32" s="1792"/>
      <c r="B32" s="2483" t="str">
        <f>'Бюд.р.'!A68</f>
        <v>ДЕПУТАТЫ, ОСУЩЕСТВЛЯЮЩИЕ СВОЮ ДЕЯТЕЛЬНОСТЬ НА ПОСТОЯННОЙ ОСНОВЕ</v>
      </c>
      <c r="C32" s="1774">
        <v>925</v>
      </c>
      <c r="D32" s="1986" t="s">
        <v>473</v>
      </c>
      <c r="E32" s="1774" t="str">
        <f>'Бюд.р.'!D68</f>
        <v>002  03 01</v>
      </c>
      <c r="F32" s="1830"/>
      <c r="G32" s="2482">
        <f>G33</f>
        <v>960.6400000000001</v>
      </c>
      <c r="H32" s="2482">
        <f>H33</f>
        <v>1008.6720000000001</v>
      </c>
      <c r="I32" s="1839">
        <f>I33</f>
        <v>1059.1056</v>
      </c>
    </row>
    <row r="33" spans="1:9" ht="38.25" customHeight="1">
      <c r="A33" s="1793" t="s">
        <v>804</v>
      </c>
      <c r="B33" s="1818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1665" t="s">
        <v>93</v>
      </c>
      <c r="D33" s="1665" t="s">
        <v>473</v>
      </c>
      <c r="E33" s="1665" t="str">
        <f>'Бюд.р.'!D69</f>
        <v>002  03 01</v>
      </c>
      <c r="F33" s="1759">
        <f>'Бюд.р.'!F69</f>
        <v>100</v>
      </c>
      <c r="G33" s="1833">
        <f>'Бюд.р.'!H69</f>
        <v>960.6400000000001</v>
      </c>
      <c r="H33" s="2578">
        <f>G33*1.05</f>
        <v>1008.6720000000001</v>
      </c>
      <c r="I33" s="2578">
        <f>H33*1.05</f>
        <v>1059.1056</v>
      </c>
    </row>
    <row r="34" spans="1:9" ht="22.5">
      <c r="A34" s="1791" t="s">
        <v>513</v>
      </c>
      <c r="B34" s="1819" t="s">
        <v>1003</v>
      </c>
      <c r="C34" s="1745">
        <v>925</v>
      </c>
      <c r="D34" s="1745">
        <v>103</v>
      </c>
      <c r="E34" s="1745" t="str">
        <f>'Бюд.р.'!D77</f>
        <v>002  03 02</v>
      </c>
      <c r="F34" s="1746"/>
      <c r="G34" s="1834">
        <f>G35</f>
        <v>264.6</v>
      </c>
      <c r="H34" s="2509">
        <f>H35</f>
        <v>277.83000000000004</v>
      </c>
      <c r="I34" s="2509">
        <f>I35</f>
        <v>291.72150000000005</v>
      </c>
    </row>
    <row r="35" spans="1:9" ht="38.25" customHeight="1">
      <c r="A35" s="1792" t="s">
        <v>205</v>
      </c>
      <c r="B35" s="1750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1748">
        <v>925</v>
      </c>
      <c r="D35" s="1748">
        <v>103</v>
      </c>
      <c r="E35" s="1748" t="str">
        <f>'Бюд.р.'!D78</f>
        <v>002  03 02</v>
      </c>
      <c r="F35" s="1749">
        <f>'Бюд.р.'!F78</f>
        <v>100</v>
      </c>
      <c r="G35" s="1835">
        <f>'Бюд.р.'!H78</f>
        <v>264.6</v>
      </c>
      <c r="H35" s="2580">
        <f>G35*1.05</f>
        <v>277.83000000000004</v>
      </c>
      <c r="I35" s="2580">
        <f>H35*1.05</f>
        <v>291.72150000000005</v>
      </c>
    </row>
    <row r="36" spans="1:9" ht="12.75">
      <c r="A36" s="1791" t="s">
        <v>213</v>
      </c>
      <c r="B36" s="1819" t="str">
        <f>'Бюд.р.'!A82</f>
        <v>АППАРАТ ПРЕДСТАВИТЕЛЬНОГО ОРГАНА МУНИЦИПАЛЬНОГО ОБРАЗОВАНИЯ</v>
      </c>
      <c r="C36" s="1745">
        <v>925</v>
      </c>
      <c r="D36" s="1745">
        <v>103</v>
      </c>
      <c r="E36" s="1745" t="str">
        <f>'Бюд.р.'!D82</f>
        <v>002  04 00</v>
      </c>
      <c r="F36" s="1746"/>
      <c r="G36" s="1834">
        <f>SUM(G37:G39)</f>
        <v>2035.5260000000003</v>
      </c>
      <c r="H36" s="1834">
        <f>SUM(H37:H39)</f>
        <v>2137.3023000000003</v>
      </c>
      <c r="I36" s="2509">
        <f>SUM(I37:I39)</f>
        <v>2244.1674150000003</v>
      </c>
    </row>
    <row r="37" spans="1:9" ht="33.75" customHeight="1">
      <c r="A37" s="1794" t="s">
        <v>144</v>
      </c>
      <c r="B37" s="1820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1748">
        <v>925</v>
      </c>
      <c r="D37" s="1748">
        <v>103</v>
      </c>
      <c r="E37" s="1748" t="str">
        <f>'Бюд.р.'!D83</f>
        <v>002  04 00</v>
      </c>
      <c r="F37" s="1749">
        <f>'Бюд.р.'!F83</f>
        <v>100</v>
      </c>
      <c r="G37" s="1835">
        <f>'Бюд.р.'!H83</f>
        <v>817.6780000000001</v>
      </c>
      <c r="H37" s="2580">
        <f aca="true" t="shared" si="2" ref="H37:I39">G37*1.05</f>
        <v>858.5619000000002</v>
      </c>
      <c r="I37" s="2580">
        <f t="shared" si="2"/>
        <v>901.4899950000002</v>
      </c>
    </row>
    <row r="38" spans="1:9" ht="12.75">
      <c r="A38" s="1794" t="s">
        <v>994</v>
      </c>
      <c r="B38" s="1750" t="str">
        <f>'Бюд.р.'!A89</f>
        <v>Закупка товаров, работ и услуг  для государственных (муниципальных) нужд</v>
      </c>
      <c r="C38" s="1748">
        <v>925</v>
      </c>
      <c r="D38" s="1748">
        <v>103</v>
      </c>
      <c r="E38" s="1748" t="str">
        <f>'Бюд.р.'!D89</f>
        <v>002 04 00</v>
      </c>
      <c r="F38" s="1749">
        <f>'Бюд.р.'!F89</f>
        <v>200</v>
      </c>
      <c r="G38" s="1835">
        <f>'Бюд.р.'!H89</f>
        <v>1214.6490000000001</v>
      </c>
      <c r="H38" s="2580">
        <f t="shared" si="2"/>
        <v>1275.38145</v>
      </c>
      <c r="I38" s="2580">
        <f t="shared" si="2"/>
        <v>1339.1505225</v>
      </c>
    </row>
    <row r="39" spans="1:9" ht="13.5" thickBot="1">
      <c r="A39" s="1794" t="s">
        <v>995</v>
      </c>
      <c r="B39" s="1750" t="str">
        <f>'Бюд.р.'!A99</f>
        <v>Иные бюджетные ассигнования</v>
      </c>
      <c r="C39" s="1748">
        <v>925</v>
      </c>
      <c r="D39" s="1748">
        <v>103</v>
      </c>
      <c r="E39" s="1748" t="str">
        <f>'Бюд.р.'!D99</f>
        <v>002  04 00</v>
      </c>
      <c r="F39" s="1749">
        <f>'Бюд.р.'!F99</f>
        <v>800</v>
      </c>
      <c r="G39" s="1835">
        <f>'Бюд.р.'!H99</f>
        <v>3.199</v>
      </c>
      <c r="H39" s="2580">
        <f t="shared" si="2"/>
        <v>3.35895</v>
      </c>
      <c r="I39" s="2580">
        <f t="shared" si="2"/>
        <v>3.5268975000000005</v>
      </c>
    </row>
    <row r="40" spans="1:9" ht="13.5" thickBot="1">
      <c r="A40" s="1790" t="s">
        <v>471</v>
      </c>
      <c r="B40" s="2545" t="s">
        <v>457</v>
      </c>
      <c r="C40" s="2546" t="s">
        <v>631</v>
      </c>
      <c r="D40" s="2546"/>
      <c r="E40" s="2546"/>
      <c r="F40" s="2547"/>
      <c r="G40" s="2548" t="e">
        <f>G41+G74+G80+G87+G109+G113+G135+G144+G156+G160</f>
        <v>#REF!</v>
      </c>
      <c r="H40" s="2549" t="e">
        <f>H41+H74+H80+H87+H109+H113+H135+H144+H156+H160</f>
        <v>#REF!</v>
      </c>
      <c r="I40" s="2549" t="e">
        <f>I41+I74+I80+I87+I109+I113+I135+I144+I156+I160</f>
        <v>#REF!</v>
      </c>
    </row>
    <row r="41" spans="1:9" ht="12.75">
      <c r="A41" s="1791" t="s">
        <v>270</v>
      </c>
      <c r="B41" s="1825" t="s">
        <v>111</v>
      </c>
      <c r="C41" s="1666" t="s">
        <v>631</v>
      </c>
      <c r="D41" s="1666" t="s">
        <v>456</v>
      </c>
      <c r="E41" s="1666"/>
      <c r="F41" s="1760"/>
      <c r="G41" s="1836" t="e">
        <f>G42+G52+G55</f>
        <v>#REF!</v>
      </c>
      <c r="H41" s="1836" t="e">
        <f>H42+H52+H55</f>
        <v>#REF!</v>
      </c>
      <c r="I41" s="1836" t="e">
        <f>I42+I52+I55</f>
        <v>#REF!</v>
      </c>
    </row>
    <row r="42" spans="1:9" ht="48">
      <c r="A42" s="1792" t="s">
        <v>211</v>
      </c>
      <c r="B42" s="1818" t="s">
        <v>922</v>
      </c>
      <c r="C42" s="1665" t="s">
        <v>631</v>
      </c>
      <c r="D42" s="1665" t="s">
        <v>475</v>
      </c>
      <c r="E42" s="1665"/>
      <c r="F42" s="1759"/>
      <c r="G42" s="1837">
        <f>G43+G45+G50</f>
        <v>26584.388999999996</v>
      </c>
      <c r="H42" s="1837">
        <f>H43+H45+H50</f>
        <v>27913.628450000004</v>
      </c>
      <c r="I42" s="2550">
        <f>I43+I45+I50</f>
        <v>29309.3148725</v>
      </c>
    </row>
    <row r="43" spans="1:9" ht="12.75">
      <c r="A43" s="1791" t="s">
        <v>4</v>
      </c>
      <c r="B43" s="2551" t="s">
        <v>96</v>
      </c>
      <c r="C43" s="1745" t="s">
        <v>631</v>
      </c>
      <c r="D43" s="2552" t="s">
        <v>475</v>
      </c>
      <c r="E43" s="1745" t="s">
        <v>476</v>
      </c>
      <c r="F43" s="1746"/>
      <c r="G43" s="2553">
        <f>G44</f>
        <v>1117.234</v>
      </c>
      <c r="H43" s="2555">
        <f>H44</f>
        <v>1173.0957</v>
      </c>
      <c r="I43" s="2555">
        <f>I44</f>
        <v>1231.750485</v>
      </c>
    </row>
    <row r="44" spans="1:9" ht="36.75" customHeight="1">
      <c r="A44" s="1791" t="s">
        <v>5</v>
      </c>
      <c r="B44" s="1820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1970" t="s">
        <v>631</v>
      </c>
      <c r="D44" s="1975" t="s">
        <v>475</v>
      </c>
      <c r="E44" s="1970" t="str">
        <f>'Бюд.р.'!D152</f>
        <v>002  05 00</v>
      </c>
      <c r="F44" s="1747">
        <f>'Бюд.р.'!F152</f>
        <v>100</v>
      </c>
      <c r="G44" s="2554">
        <f>'Бюд.р.'!H152</f>
        <v>1117.234</v>
      </c>
      <c r="H44" s="2581">
        <f>G44*1.05</f>
        <v>1173.0957</v>
      </c>
      <c r="I44" s="2581">
        <f>H44*1.05</f>
        <v>1231.750485</v>
      </c>
    </row>
    <row r="45" spans="1:9" ht="22.5">
      <c r="A45" s="1792" t="s">
        <v>996</v>
      </c>
      <c r="B45" s="2551" t="s">
        <v>65</v>
      </c>
      <c r="C45" s="1745" t="s">
        <v>631</v>
      </c>
      <c r="D45" s="2552" t="s">
        <v>475</v>
      </c>
      <c r="E45" s="1745" t="str">
        <f>'Бюд.р.'!D159</f>
        <v>002  06 01</v>
      </c>
      <c r="F45" s="1746"/>
      <c r="G45" s="2553">
        <f>SUM(G46:G49)</f>
        <v>25461.554999999997</v>
      </c>
      <c r="H45" s="2553">
        <f>SUM(H46:H49)</f>
        <v>26734.63275</v>
      </c>
      <c r="I45" s="2555">
        <f>SUM(I46:I49)</f>
        <v>28071.364387499998</v>
      </c>
    </row>
    <row r="46" spans="1:9" ht="32.25" customHeight="1">
      <c r="A46" s="1792" t="s">
        <v>201</v>
      </c>
      <c r="B46" s="1820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1970">
        <v>968</v>
      </c>
      <c r="D46" s="1975" t="s">
        <v>475</v>
      </c>
      <c r="E46" s="1970" t="str">
        <f>'Бюд.р.'!D159</f>
        <v>002  06 01</v>
      </c>
      <c r="F46" s="1747">
        <f>'Бюд.р.'!F159</f>
        <v>100</v>
      </c>
      <c r="G46" s="2554">
        <f>'Бюд.р.'!H159</f>
        <v>19630.689</v>
      </c>
      <c r="H46" s="2581">
        <f>G46*1.05</f>
        <v>20612.223449999998</v>
      </c>
      <c r="I46" s="2581">
        <f>H46*1.05</f>
        <v>21642.8346225</v>
      </c>
    </row>
    <row r="47" spans="1:9" ht="12.75">
      <c r="A47" s="1792" t="s">
        <v>997</v>
      </c>
      <c r="B47" s="2556" t="str">
        <f>'Бюд.р.'!A165</f>
        <v>Закупка товаров, работ и услуг  для государственных (муниципальных) нужд</v>
      </c>
      <c r="C47" s="1970">
        <v>968</v>
      </c>
      <c r="D47" s="1975" t="s">
        <v>475</v>
      </c>
      <c r="E47" s="1970" t="str">
        <f>'Бюд.р.'!D166</f>
        <v>002  06 01</v>
      </c>
      <c r="F47" s="1747">
        <f>'Бюд.р.'!F165</f>
        <v>200</v>
      </c>
      <c r="G47" s="2554">
        <f>'Бюд.р.'!H165</f>
        <v>5743.199</v>
      </c>
      <c r="H47" s="2581">
        <f aca="true" t="shared" si="3" ref="H47:I49">G47*1.05</f>
        <v>6030.35895</v>
      </c>
      <c r="I47" s="2581">
        <f t="shared" si="3"/>
        <v>6331.8768975</v>
      </c>
    </row>
    <row r="48" spans="1:9" ht="12.75">
      <c r="A48" s="1795"/>
      <c r="B48" s="2556" t="str">
        <f>'Бюд.р.'!A187</f>
        <v>Социальное обеспечение и иные выплаты населению</v>
      </c>
      <c r="C48" s="1970">
        <v>968</v>
      </c>
      <c r="D48" s="1975" t="s">
        <v>475</v>
      </c>
      <c r="E48" s="1970" t="str">
        <f>'Бюд.р.'!D187</f>
        <v>002  06 01</v>
      </c>
      <c r="F48" s="1747">
        <f>'Бюд.р.'!F187</f>
        <v>300</v>
      </c>
      <c r="G48" s="2554">
        <f>'Бюд.р.'!H187</f>
        <v>57.067</v>
      </c>
      <c r="H48" s="2581">
        <f t="shared" si="3"/>
        <v>59.920350000000006</v>
      </c>
      <c r="I48" s="2581">
        <f t="shared" si="3"/>
        <v>62.91636750000001</v>
      </c>
    </row>
    <row r="49" spans="1:9" ht="12.75">
      <c r="A49" s="1792" t="s">
        <v>36</v>
      </c>
      <c r="B49" s="2556" t="str">
        <f>'Бюд.р.'!A201</f>
        <v>Иные бюджетные ассигнования</v>
      </c>
      <c r="C49" s="1970">
        <v>968</v>
      </c>
      <c r="D49" s="1975" t="s">
        <v>475</v>
      </c>
      <c r="E49" s="1970" t="str">
        <f>'Бюд.р.'!D201</f>
        <v>002  06 01</v>
      </c>
      <c r="F49" s="1747">
        <f>'Бюд.р.'!F201</f>
        <v>800</v>
      </c>
      <c r="G49" s="2554">
        <f>'Бюд.р.'!H201</f>
        <v>30.6</v>
      </c>
      <c r="H49" s="2581">
        <f t="shared" si="3"/>
        <v>32.13</v>
      </c>
      <c r="I49" s="2581">
        <f t="shared" si="3"/>
        <v>33.73650000000001</v>
      </c>
    </row>
    <row r="50" spans="1:9" ht="41.25" customHeight="1">
      <c r="A50" s="1793" t="s">
        <v>680</v>
      </c>
      <c r="B50" s="2491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50" s="2487">
        <v>968</v>
      </c>
      <c r="D50" s="2488" t="s">
        <v>475</v>
      </c>
      <c r="E50" s="2487" t="str">
        <f>'Бюд.р.'!D208</f>
        <v>002  80 10</v>
      </c>
      <c r="F50" s="2489"/>
      <c r="G50" s="2553">
        <f>G51</f>
        <v>5.6</v>
      </c>
      <c r="H50" s="2555">
        <f>H51</f>
        <v>5.9</v>
      </c>
      <c r="I50" s="2555">
        <f>I51</f>
        <v>6.2</v>
      </c>
    </row>
    <row r="51" spans="1:9" ht="12.75">
      <c r="A51" s="1791" t="s">
        <v>681</v>
      </c>
      <c r="B51" s="1750" t="str">
        <f>'Бюд.р.'!A209</f>
        <v>Закупка товаров, работ и услуг  для государственных (муниципальных) нужд</v>
      </c>
      <c r="C51" s="1748">
        <v>968</v>
      </c>
      <c r="D51" s="1976" t="s">
        <v>475</v>
      </c>
      <c r="E51" s="1748" t="str">
        <f>'Бюд.р.'!D209</f>
        <v>002  80 10</v>
      </c>
      <c r="F51" s="1749">
        <f>'Бюд.р.'!F209</f>
        <v>200</v>
      </c>
      <c r="G51" s="2554">
        <f>'Бюд.р.'!H209</f>
        <v>5.6</v>
      </c>
      <c r="H51" s="2581">
        <v>5.9</v>
      </c>
      <c r="I51" s="2581">
        <v>6.2</v>
      </c>
    </row>
    <row r="52" spans="1:9" ht="12.75">
      <c r="A52" s="1792" t="s">
        <v>434</v>
      </c>
      <c r="B52" s="1822" t="s">
        <v>26</v>
      </c>
      <c r="C52" s="1767">
        <v>968</v>
      </c>
      <c r="D52" s="2479" t="s">
        <v>1267</v>
      </c>
      <c r="E52" s="1767"/>
      <c r="F52" s="1768"/>
      <c r="G52" s="1838">
        <f aca="true" t="shared" si="4" ref="G52:I53">G53</f>
        <v>1279.516</v>
      </c>
      <c r="H52" s="2510">
        <f t="shared" si="4"/>
        <v>1343.4918000000002</v>
      </c>
      <c r="I52" s="2510">
        <f t="shared" si="4"/>
        <v>1410.6663900000003</v>
      </c>
    </row>
    <row r="53" spans="1:9" ht="12.75">
      <c r="A53" s="1793" t="s">
        <v>326</v>
      </c>
      <c r="B53" s="2491" t="s">
        <v>27</v>
      </c>
      <c r="C53" s="2487">
        <v>968</v>
      </c>
      <c r="D53" s="2488" t="s">
        <v>1267</v>
      </c>
      <c r="E53" s="2487" t="s">
        <v>28</v>
      </c>
      <c r="F53" s="2489"/>
      <c r="G53" s="1834">
        <f t="shared" si="4"/>
        <v>1279.516</v>
      </c>
      <c r="H53" s="2509">
        <f t="shared" si="4"/>
        <v>1343.4918000000002</v>
      </c>
      <c r="I53" s="2509">
        <f t="shared" si="4"/>
        <v>1410.6663900000003</v>
      </c>
    </row>
    <row r="54" spans="1:9" ht="12.75">
      <c r="A54" s="1791" t="s">
        <v>721</v>
      </c>
      <c r="B54" s="1772" t="str">
        <f>'Бюд.р.'!A222</f>
        <v>Иные бюджетные ассигнования</v>
      </c>
      <c r="C54" s="1665">
        <v>968</v>
      </c>
      <c r="D54" s="2480" t="s">
        <v>1267</v>
      </c>
      <c r="E54" s="1665" t="str">
        <f>'Бюд.р.'!D222</f>
        <v>070 01 01</v>
      </c>
      <c r="F54" s="1759">
        <f>'Бюд.р.'!F222</f>
        <v>800</v>
      </c>
      <c r="G54" s="1837">
        <f>'Бюд.р.'!H222</f>
        <v>1279.516</v>
      </c>
      <c r="H54" s="2582">
        <f>G54*1.05</f>
        <v>1343.4918000000002</v>
      </c>
      <c r="I54" s="2582">
        <f>H54*1.05</f>
        <v>1410.6663900000003</v>
      </c>
    </row>
    <row r="55" spans="1:9" ht="15" customHeight="1">
      <c r="A55" s="1792" t="s">
        <v>98</v>
      </c>
      <c r="B55" s="2483" t="s">
        <v>421</v>
      </c>
      <c r="C55" s="1774" t="s">
        <v>631</v>
      </c>
      <c r="D55" s="1986" t="s">
        <v>925</v>
      </c>
      <c r="E55" s="1987"/>
      <c r="F55" s="2063"/>
      <c r="G55" s="2482" t="e">
        <f>G56+G58+G60+G62+G64+G66+G68+G70+G72</f>
        <v>#REF!</v>
      </c>
      <c r="H55" s="2482" t="e">
        <f>H56+H58+H60+H62+H64+H66+H68+H70+H72</f>
        <v>#REF!</v>
      </c>
      <c r="I55" s="2482" t="e">
        <f>I56+I58+I60+I62+I64+I66+I68+I70+I72</f>
        <v>#REF!</v>
      </c>
    </row>
    <row r="56" spans="1:9" ht="28.5" customHeight="1">
      <c r="A56" s="1791" t="s">
        <v>781</v>
      </c>
      <c r="B56" s="2491" t="s">
        <v>1007</v>
      </c>
      <c r="C56" s="2487" t="s">
        <v>631</v>
      </c>
      <c r="D56" s="2488" t="s">
        <v>925</v>
      </c>
      <c r="E56" s="2499" t="str">
        <f>'Бюд.р.'!D227</f>
        <v>090 01 00</v>
      </c>
      <c r="F56" s="2489"/>
      <c r="G56" s="1834">
        <f>G57</f>
        <v>109.65</v>
      </c>
      <c r="H56" s="2509">
        <f>H57</f>
        <v>115.13250000000001</v>
      </c>
      <c r="I56" s="2509">
        <f>I57</f>
        <v>120.889125</v>
      </c>
    </row>
    <row r="57" spans="1:9" ht="12.75">
      <c r="A57" s="1792" t="s">
        <v>472</v>
      </c>
      <c r="B57" s="1772" t="str">
        <f>'Бюд.р.'!A228</f>
        <v>Закупка товаров, работ и услуг  для государственных (муниципальных) нужд</v>
      </c>
      <c r="C57" s="1665" t="s">
        <v>631</v>
      </c>
      <c r="D57" s="2480" t="s">
        <v>925</v>
      </c>
      <c r="E57" s="1665" t="str">
        <f>'Бюд.р.'!D228</f>
        <v>090 01 00</v>
      </c>
      <c r="F57" s="1759">
        <f>'Бюд.р.'!F228</f>
        <v>200</v>
      </c>
      <c r="G57" s="1837">
        <f>'Бюд.р.'!H228</f>
        <v>109.65</v>
      </c>
      <c r="H57" s="2582">
        <f>G57*1.05</f>
        <v>115.13250000000001</v>
      </c>
      <c r="I57" s="2582">
        <f>H57*1.05</f>
        <v>120.889125</v>
      </c>
    </row>
    <row r="58" spans="1:9" ht="31.5" customHeight="1">
      <c r="A58" s="1791" t="s">
        <v>903</v>
      </c>
      <c r="B58" s="2491" t="str">
        <f>'Бюд.р.'!A240</f>
        <v>РАСХОДЫ НА ОСУЩЕСТВЛЕНИЕ ЗАКУПОК ТОВАРОВ, РАБОТ, УСЛУГ ДЛЯ ОБЕСПЕЧЕНИЯ МУНИЦИПАЛЬНЫХ НУЖД</v>
      </c>
      <c r="C58" s="2487">
        <v>968</v>
      </c>
      <c r="D58" s="2488" t="s">
        <v>925</v>
      </c>
      <c r="E58" s="2487" t="str">
        <f>E59</f>
        <v>092 02 00</v>
      </c>
      <c r="F58" s="2489"/>
      <c r="G58" s="1834">
        <f>G59</f>
        <v>400</v>
      </c>
      <c r="H58" s="2509">
        <f>H59</f>
        <v>420</v>
      </c>
      <c r="I58" s="2509">
        <f>I59</f>
        <v>441</v>
      </c>
    </row>
    <row r="59" spans="1:9" ht="12.75">
      <c r="A59" s="1792" t="s">
        <v>904</v>
      </c>
      <c r="B59" s="1772" t="str">
        <f>'Бюд.р.'!A241</f>
        <v>Закупка товаров, работ и услуг  для государственных (муниципальных) нужд</v>
      </c>
      <c r="C59" s="1665">
        <v>968</v>
      </c>
      <c r="D59" s="2480" t="s">
        <v>925</v>
      </c>
      <c r="E59" s="1665" t="str">
        <f>'Бюд.р.'!D241</f>
        <v>092 02 00</v>
      </c>
      <c r="F59" s="1759">
        <f>'Бюд.р.'!F241</f>
        <v>200</v>
      </c>
      <c r="G59" s="1837">
        <f>'Бюд.р.'!H241</f>
        <v>400</v>
      </c>
      <c r="H59" s="2582">
        <f>G59*1.05</f>
        <v>420</v>
      </c>
      <c r="I59" s="2582">
        <f>H59*1.05</f>
        <v>441</v>
      </c>
    </row>
    <row r="60" spans="1:9" ht="33.75">
      <c r="A60" s="1791" t="s">
        <v>905</v>
      </c>
      <c r="B60" s="2491" t="str">
        <f>'Бюд.р.'!A245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60" s="2487">
        <v>968</v>
      </c>
      <c r="D60" s="2488" t="s">
        <v>925</v>
      </c>
      <c r="E60" s="2487" t="str">
        <f>'Бюд.р.'!D245</f>
        <v>092 05 00</v>
      </c>
      <c r="F60" s="2489"/>
      <c r="G60" s="1834">
        <f>G61</f>
        <v>72</v>
      </c>
      <c r="H60" s="2509">
        <f>H61</f>
        <v>75.60000000000001</v>
      </c>
      <c r="I60" s="2509">
        <f>I61</f>
        <v>79.38000000000001</v>
      </c>
    </row>
    <row r="61" spans="1:9" ht="15.75" customHeight="1">
      <c r="A61" s="1796" t="s">
        <v>906</v>
      </c>
      <c r="B61" s="1772" t="str">
        <f>'Бюд.р.'!A246</f>
        <v>Иные бюджетные ассигнования</v>
      </c>
      <c r="C61" s="1665" t="s">
        <v>631</v>
      </c>
      <c r="D61" s="2480" t="s">
        <v>925</v>
      </c>
      <c r="E61" s="1665" t="str">
        <f>'Бюд.р.'!D246</f>
        <v>092 05 00</v>
      </c>
      <c r="F61" s="1759">
        <f>'Бюд.р.'!F246</f>
        <v>800</v>
      </c>
      <c r="G61" s="1837">
        <f>'Бюд.р.'!H246</f>
        <v>72</v>
      </c>
      <c r="H61" s="2582">
        <f>G61*1.05</f>
        <v>75.60000000000001</v>
      </c>
      <c r="I61" s="2582">
        <f>H61*1.05</f>
        <v>79.38000000000001</v>
      </c>
    </row>
    <row r="62" spans="1:9" ht="48" customHeight="1">
      <c r="A62" s="1791" t="s">
        <v>965</v>
      </c>
      <c r="B62" s="2491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2" s="2487">
        <v>968</v>
      </c>
      <c r="D62" s="2488" t="s">
        <v>925</v>
      </c>
      <c r="E62" s="2487" t="str">
        <f>E63</f>
        <v>092 06 00</v>
      </c>
      <c r="F62" s="2489"/>
      <c r="G62" s="1834">
        <f>G63</f>
        <v>333.91999999999996</v>
      </c>
      <c r="H62" s="2509">
        <f>H63</f>
        <v>350.616</v>
      </c>
      <c r="I62" s="2509">
        <f>I63</f>
        <v>368.1468</v>
      </c>
    </row>
    <row r="63" spans="1:9" ht="15" customHeight="1">
      <c r="A63" s="1796" t="s">
        <v>966</v>
      </c>
      <c r="B63" s="1772" t="str">
        <f>'Бюд.р.'!A251</f>
        <v>Закупка товаров, работ и услуг  для государственных (муниципальных) нужд</v>
      </c>
      <c r="C63" s="1665">
        <v>968</v>
      </c>
      <c r="D63" s="2480" t="s">
        <v>925</v>
      </c>
      <c r="E63" s="1665" t="str">
        <f>'Бюд.р.'!D251</f>
        <v>092 06 00</v>
      </c>
      <c r="F63" s="1759">
        <f>'Бюд.р.'!F251</f>
        <v>200</v>
      </c>
      <c r="G63" s="1837">
        <f>'Бюд.р.'!H251</f>
        <v>333.91999999999996</v>
      </c>
      <c r="H63" s="2582">
        <f>G63*1.05</f>
        <v>350.616</v>
      </c>
      <c r="I63" s="2582">
        <f>H63*1.05</f>
        <v>368.1468</v>
      </c>
    </row>
    <row r="64" spans="1:9" ht="20.25" customHeight="1">
      <c r="A64" s="1795" t="s">
        <v>1088</v>
      </c>
      <c r="B64" s="2491" t="str">
        <f>'Бюд.р.'!A255</f>
        <v>РАСХОДЫ НА ПОДДЕРЖАНИЕ САЙТА МО МО ОЗЕРО ДОЛГОЕ</v>
      </c>
      <c r="C64" s="2487">
        <f>'Бюд.р.'!B255</f>
        <v>968</v>
      </c>
      <c r="D64" s="2488" t="s">
        <v>925</v>
      </c>
      <c r="E64" s="2487" t="str">
        <f>E65</f>
        <v>092 08 00</v>
      </c>
      <c r="F64" s="2489"/>
      <c r="G64" s="1834">
        <f>G65</f>
        <v>0</v>
      </c>
      <c r="H64" s="2509">
        <f>H65</f>
        <v>0</v>
      </c>
      <c r="I64" s="2509">
        <f>I65</f>
        <v>0</v>
      </c>
    </row>
    <row r="65" spans="1:9" ht="14.25" customHeight="1">
      <c r="A65" s="1792" t="s">
        <v>1089</v>
      </c>
      <c r="B65" s="1772" t="str">
        <f>'Бюд.р.'!A256</f>
        <v>Закупка товаров, работ и услуг  для государственных (муниципальных) нужд</v>
      </c>
      <c r="C65" s="1665">
        <v>968</v>
      </c>
      <c r="D65" s="2480" t="s">
        <v>925</v>
      </c>
      <c r="E65" s="1665" t="str">
        <f>'Бюд.р.'!D256</f>
        <v>092 08 00</v>
      </c>
      <c r="F65" s="1759">
        <f>'Бюд.р.'!F256</f>
        <v>200</v>
      </c>
      <c r="G65" s="1837">
        <f>'Бюд.р.'!H256</f>
        <v>0</v>
      </c>
      <c r="H65" s="2582">
        <f>G65*1.05</f>
        <v>0</v>
      </c>
      <c r="I65" s="2582">
        <f>H65*1.05</f>
        <v>0</v>
      </c>
    </row>
    <row r="66" spans="1:9" ht="12.75">
      <c r="A66" s="1791" t="s">
        <v>1090</v>
      </c>
      <c r="B66" s="2491" t="e">
        <f>'Бюд.р.'!#REF!</f>
        <v>#REF!</v>
      </c>
      <c r="C66" s="2487">
        <v>968</v>
      </c>
      <c r="D66" s="2488" t="s">
        <v>925</v>
      </c>
      <c r="E66" s="2487" t="e">
        <f>'Бюд.р.'!#REF!</f>
        <v>#REF!</v>
      </c>
      <c r="F66" s="2489"/>
      <c r="G66" s="1834" t="e">
        <f>G67</f>
        <v>#REF!</v>
      </c>
      <c r="H66" s="1834" t="e">
        <f>H67</f>
        <v>#REF!</v>
      </c>
      <c r="I66" s="2509" t="e">
        <f>I67</f>
        <v>#REF!</v>
      </c>
    </row>
    <row r="67" spans="1:9" ht="13.5" thickBot="1">
      <c r="A67" s="2484"/>
      <c r="B67" s="1772" t="e">
        <f>'Бюд.р.'!#REF!</f>
        <v>#REF!</v>
      </c>
      <c r="C67" s="1665">
        <v>968</v>
      </c>
      <c r="D67" s="2480" t="s">
        <v>925</v>
      </c>
      <c r="E67" s="1665" t="e">
        <f>'Бюд.р.'!#REF!</f>
        <v>#REF!</v>
      </c>
      <c r="F67" s="1759" t="e">
        <f>'Бюд.р.'!#REF!</f>
        <v>#REF!</v>
      </c>
      <c r="G67" s="1837" t="e">
        <f>'Бюд.р.'!#REF!</f>
        <v>#REF!</v>
      </c>
      <c r="H67" s="2550" t="e">
        <f>G67*1.05</f>
        <v>#REF!</v>
      </c>
      <c r="I67" s="2550" t="e">
        <f>H67*1.05</f>
        <v>#REF!</v>
      </c>
    </row>
    <row r="68" spans="1:9" ht="23.25" thickBot="1">
      <c r="A68" s="1789" t="s">
        <v>674</v>
      </c>
      <c r="B68" s="2491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68" s="2487">
        <v>968</v>
      </c>
      <c r="D68" s="2488" t="s">
        <v>925</v>
      </c>
      <c r="E68" s="2487" t="str">
        <f>'Бюд.р.'!D266</f>
        <v>795 02 00</v>
      </c>
      <c r="F68" s="2489"/>
      <c r="G68" s="1834">
        <f>G69</f>
        <v>90</v>
      </c>
      <c r="H68" s="1834">
        <f>H69</f>
        <v>94.5</v>
      </c>
      <c r="I68" s="2509">
        <f>I69</f>
        <v>99.22500000000001</v>
      </c>
    </row>
    <row r="69" spans="1:9" ht="12.75">
      <c r="A69" s="2485"/>
      <c r="B69" s="1772" t="str">
        <f>'Бюд.р.'!A267</f>
        <v>Закупка товаров, работ и услуг  для государственных (муниципальных) нужд</v>
      </c>
      <c r="C69" s="1665">
        <v>968</v>
      </c>
      <c r="D69" s="2480" t="s">
        <v>925</v>
      </c>
      <c r="E69" s="1665" t="str">
        <f>'Бюд.р.'!D267</f>
        <v>795 02 00</v>
      </c>
      <c r="F69" s="1759">
        <f>'Бюд.р.'!F267</f>
        <v>200</v>
      </c>
      <c r="G69" s="1837">
        <f>'Бюд.р.'!H267</f>
        <v>90</v>
      </c>
      <c r="H69" s="2550">
        <f>G69*1.05</f>
        <v>94.5</v>
      </c>
      <c r="I69" s="2550">
        <f>H69*1.05</f>
        <v>99.22500000000001</v>
      </c>
    </row>
    <row r="70" spans="1:9" ht="12.75">
      <c r="A70" s="1790" t="s">
        <v>327</v>
      </c>
      <c r="B70" s="2491" t="str">
        <f>'Бюд.р.'!A261</f>
        <v>РАСХОДЫ НА ОСУЩЕСТВЛЕНИЕ ЗАЩИТЫ ПРАВ ПОТРЕБИТЕЛЕЙ</v>
      </c>
      <c r="C70" s="2487">
        <v>968</v>
      </c>
      <c r="D70" s="2488" t="s">
        <v>925</v>
      </c>
      <c r="E70" s="2487" t="str">
        <f>E71</f>
        <v>092 10 00</v>
      </c>
      <c r="F70" s="2489"/>
      <c r="G70" s="1834">
        <f>G71</f>
        <v>133.92</v>
      </c>
      <c r="H70" s="1834">
        <f>H71</f>
        <v>140.61599999999999</v>
      </c>
      <c r="I70" s="2509">
        <f>I71</f>
        <v>147.64679999999998</v>
      </c>
    </row>
    <row r="71" spans="1:9" ht="12.75">
      <c r="A71" s="1790"/>
      <c r="B71" s="1750" t="str">
        <f>'Бюд.р.'!A262</f>
        <v>Закупка товаров, работ и услуг  для государственных (муниципальных) нужд</v>
      </c>
      <c r="C71" s="1748">
        <v>968</v>
      </c>
      <c r="D71" s="1976" t="s">
        <v>925</v>
      </c>
      <c r="E71" s="1748" t="str">
        <f>'Бюд.р.'!D262</f>
        <v>092 10 00</v>
      </c>
      <c r="F71" s="1749">
        <f>'Бюд.р.'!F262</f>
        <v>200</v>
      </c>
      <c r="G71" s="2554">
        <f>'Бюд.р.'!H262</f>
        <v>133.92</v>
      </c>
      <c r="H71" s="2581">
        <f>G71*1.05</f>
        <v>140.61599999999999</v>
      </c>
      <c r="I71" s="2581">
        <f>H71*1.05</f>
        <v>147.64679999999998</v>
      </c>
    </row>
    <row r="72" spans="1:9" ht="48" customHeight="1">
      <c r="A72" s="1790"/>
      <c r="B72" s="2491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72" s="2487">
        <v>968</v>
      </c>
      <c r="D72" s="2488" t="s">
        <v>925</v>
      </c>
      <c r="E72" s="2487" t="str">
        <f>E73</f>
        <v>795 11 00</v>
      </c>
      <c r="F72" s="2489"/>
      <c r="G72" s="1834">
        <f>G73</f>
        <v>136.5</v>
      </c>
      <c r="H72" s="1834">
        <f>H73</f>
        <v>143.32500000000002</v>
      </c>
      <c r="I72" s="2509">
        <f>I73</f>
        <v>150.49125000000004</v>
      </c>
    </row>
    <row r="73" spans="1:9" ht="15" customHeight="1">
      <c r="A73" s="1790"/>
      <c r="B73" s="1750" t="str">
        <f>'Бюд.р.'!A274</f>
        <v>Закупка товаров, работ и услуг  для государственных (муниципальных) нужд</v>
      </c>
      <c r="C73" s="1748">
        <v>968</v>
      </c>
      <c r="D73" s="1976" t="s">
        <v>925</v>
      </c>
      <c r="E73" s="1748" t="str">
        <f>'Бюд.р.'!D274</f>
        <v>795 11 00</v>
      </c>
      <c r="F73" s="1749">
        <f>'Бюд.р.'!F274</f>
        <v>200</v>
      </c>
      <c r="G73" s="2554">
        <f>'Бюд.р.'!H274</f>
        <v>136.5</v>
      </c>
      <c r="H73" s="2583">
        <f>G73*1.05</f>
        <v>143.32500000000002</v>
      </c>
      <c r="I73" s="2581">
        <f>H73*1.05</f>
        <v>150.49125000000004</v>
      </c>
    </row>
    <row r="74" spans="1:9" ht="24">
      <c r="A74" s="1791" t="s">
        <v>722</v>
      </c>
      <c r="B74" s="1816" t="s">
        <v>262</v>
      </c>
      <c r="C74" s="1767" t="s">
        <v>631</v>
      </c>
      <c r="D74" s="2479" t="s">
        <v>468</v>
      </c>
      <c r="E74" s="1767"/>
      <c r="F74" s="1829"/>
      <c r="G74" s="1838">
        <f>G75</f>
        <v>276.351</v>
      </c>
      <c r="H74" s="1838">
        <f>H75</f>
        <v>290.16855</v>
      </c>
      <c r="I74" s="2510">
        <f>I75</f>
        <v>304.6769775</v>
      </c>
    </row>
    <row r="75" spans="1:9" ht="25.5" customHeight="1">
      <c r="A75" s="1797"/>
      <c r="B75" s="1816" t="str">
        <f>'Рас.Пр.3'!B63</f>
        <v>Защита населения и территории от чрезвычайных ситуаций природного и техногенного характера, гражданская оборона</v>
      </c>
      <c r="C75" s="1767">
        <v>968</v>
      </c>
      <c r="D75" s="2479" t="s">
        <v>419</v>
      </c>
      <c r="E75" s="1767"/>
      <c r="F75" s="1829"/>
      <c r="G75" s="1838">
        <f>G76+G78</f>
        <v>276.351</v>
      </c>
      <c r="H75" s="1838">
        <f>H76+H78</f>
        <v>290.16855</v>
      </c>
      <c r="I75" s="2510">
        <f>I76+I78</f>
        <v>304.6769775</v>
      </c>
    </row>
    <row r="76" spans="1:9" ht="95.25" customHeight="1">
      <c r="A76" s="1797" t="s">
        <v>99</v>
      </c>
      <c r="B76" s="2486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6" s="2487" t="s">
        <v>631</v>
      </c>
      <c r="D76" s="2488" t="s">
        <v>419</v>
      </c>
      <c r="E76" s="2487" t="str">
        <f>E77</f>
        <v>795 03 00</v>
      </c>
      <c r="F76" s="2489"/>
      <c r="G76" s="1834">
        <f>G77</f>
        <v>151.351</v>
      </c>
      <c r="H76" s="1834">
        <f>H77</f>
        <v>158.91855</v>
      </c>
      <c r="I76" s="2509">
        <f>I77</f>
        <v>166.86447750000002</v>
      </c>
    </row>
    <row r="77" spans="1:9" ht="20.25" customHeight="1" thickBot="1">
      <c r="A77" s="2484"/>
      <c r="B77" s="1817" t="str">
        <f>'Бюд.р.'!A282</f>
        <v>Закупка товаров, работ и услуг  для государственных (муниципальных) нужд</v>
      </c>
      <c r="C77" s="1665">
        <v>968</v>
      </c>
      <c r="D77" s="2480" t="s">
        <v>419</v>
      </c>
      <c r="E77" s="1665" t="str">
        <f>'Бюд.р.'!D282</f>
        <v>795 03 00</v>
      </c>
      <c r="F77" s="1759">
        <f>'Бюд.р.'!F282</f>
        <v>200</v>
      </c>
      <c r="G77" s="1837">
        <f>'Бюд.р.'!H282</f>
        <v>151.351</v>
      </c>
      <c r="H77" s="2550">
        <f>G77*1.05</f>
        <v>158.91855</v>
      </c>
      <c r="I77" s="2550">
        <f>H77*1.05</f>
        <v>166.86447750000002</v>
      </c>
    </row>
    <row r="78" spans="1:9" ht="34.5" thickBot="1">
      <c r="A78" s="1789" t="s">
        <v>675</v>
      </c>
      <c r="B78" s="2491" t="s">
        <v>1017</v>
      </c>
      <c r="C78" s="2487">
        <v>968</v>
      </c>
      <c r="D78" s="2488">
        <v>309</v>
      </c>
      <c r="E78" s="2487" t="str">
        <f>E79</f>
        <v>795 05 00</v>
      </c>
      <c r="F78" s="2489"/>
      <c r="G78" s="1834">
        <f>G79</f>
        <v>125</v>
      </c>
      <c r="H78" s="1834">
        <f>H79</f>
        <v>131.25</v>
      </c>
      <c r="I78" s="2509">
        <f>I79</f>
        <v>137.8125</v>
      </c>
    </row>
    <row r="79" spans="1:9" ht="12.75">
      <c r="A79" s="2485"/>
      <c r="B79" s="1772" t="str">
        <f>'Бюд.р.'!A303</f>
        <v>Закупка товаров, работ и услуг  для государственных (муниципальных) нужд</v>
      </c>
      <c r="C79" s="1665">
        <v>968</v>
      </c>
      <c r="D79" s="2480" t="s">
        <v>419</v>
      </c>
      <c r="E79" s="1665" t="str">
        <f>'Бюд.р.'!D303</f>
        <v>795 05 00</v>
      </c>
      <c r="F79" s="1759">
        <f>'Бюд.р.'!F303</f>
        <v>200</v>
      </c>
      <c r="G79" s="1833">
        <f>'Бюд.р.'!H303</f>
        <v>125</v>
      </c>
      <c r="H79" s="2578">
        <f>G79*1.05</f>
        <v>131.25</v>
      </c>
      <c r="I79" s="2578">
        <f>H79*1.05</f>
        <v>137.8125</v>
      </c>
    </row>
    <row r="80" spans="1:10" ht="15.75" customHeight="1">
      <c r="A80" s="1791" t="s">
        <v>107</v>
      </c>
      <c r="B80" s="1816" t="s">
        <v>887</v>
      </c>
      <c r="C80" s="1767" t="s">
        <v>631</v>
      </c>
      <c r="D80" s="2479" t="s">
        <v>899</v>
      </c>
      <c r="E80" s="1767"/>
      <c r="F80" s="1829"/>
      <c r="G80" s="1838">
        <f>G81+G84</f>
        <v>186.5</v>
      </c>
      <c r="H80" s="1838">
        <f>H81+H84</f>
        <v>195.82500000000002</v>
      </c>
      <c r="I80" s="2510">
        <f>I81+I84</f>
        <v>205.61625000000004</v>
      </c>
      <c r="J80" s="1775"/>
    </row>
    <row r="81" spans="1:10" ht="13.5" customHeight="1">
      <c r="A81" s="1798" t="s">
        <v>1094</v>
      </c>
      <c r="B81" s="2490" t="s">
        <v>934</v>
      </c>
      <c r="C81" s="1774">
        <v>968</v>
      </c>
      <c r="D81" s="1986" t="s">
        <v>1268</v>
      </c>
      <c r="E81" s="1774"/>
      <c r="F81" s="1830"/>
      <c r="G81" s="2482">
        <f aca="true" t="shared" si="5" ref="G81:I82">G82</f>
        <v>166.5</v>
      </c>
      <c r="H81" s="1839">
        <f t="shared" si="5"/>
        <v>174.82500000000002</v>
      </c>
      <c r="I81" s="1839">
        <f t="shared" si="5"/>
        <v>183.56625000000003</v>
      </c>
      <c r="J81" s="1776"/>
    </row>
    <row r="82" spans="1:10" ht="22.5">
      <c r="A82" s="1790" t="s">
        <v>784</v>
      </c>
      <c r="B82" s="2491" t="str">
        <f>'Бюд.р.'!A310</f>
        <v>ВРЕМЕННОЕ ТРУДОУСТРОЙСТВО НЕСОВЕРШЕННОЛЕТНИХ В ВОЗРАСТЕ ОТ 14 ДО 18 ЛЕТ В СВОБОДНОЕ ОТ УЧЕБЫ ВРЕМЯ</v>
      </c>
      <c r="C82" s="2487">
        <v>968</v>
      </c>
      <c r="D82" s="2488" t="s">
        <v>1268</v>
      </c>
      <c r="E82" s="2487" t="str">
        <f>E83</f>
        <v>510 02 00</v>
      </c>
      <c r="F82" s="2489"/>
      <c r="G82" s="1834">
        <f>G83</f>
        <v>166.5</v>
      </c>
      <c r="H82" s="1834">
        <f t="shared" si="5"/>
        <v>174.82500000000002</v>
      </c>
      <c r="I82" s="2509">
        <f t="shared" si="5"/>
        <v>183.56625000000003</v>
      </c>
      <c r="J82" s="1776"/>
    </row>
    <row r="83" spans="1:10" ht="18" customHeight="1">
      <c r="A83" s="1791" t="s">
        <v>100</v>
      </c>
      <c r="B83" s="1772" t="str">
        <f>'Бюд.р.'!A311</f>
        <v>Иные бюджетные ассигнования</v>
      </c>
      <c r="C83" s="1665">
        <v>968</v>
      </c>
      <c r="D83" s="2480" t="s">
        <v>1268</v>
      </c>
      <c r="E83" s="1665" t="str">
        <f>'Бюд.р.'!D311</f>
        <v>510 02 00</v>
      </c>
      <c r="F83" s="1759">
        <f>'Бюд.р.'!F311</f>
        <v>800</v>
      </c>
      <c r="G83" s="1837">
        <f>'Бюд.р.'!H311</f>
        <v>166.5</v>
      </c>
      <c r="H83" s="2582">
        <f>G83*1.05</f>
        <v>174.82500000000002</v>
      </c>
      <c r="I83" s="2582">
        <f>H83*1.05</f>
        <v>183.56625000000003</v>
      </c>
      <c r="J83" s="1776"/>
    </row>
    <row r="84" spans="1:10" ht="12.75" customHeight="1" thickBot="1">
      <c r="A84" s="1796" t="s">
        <v>1095</v>
      </c>
      <c r="B84" s="1818" t="s">
        <v>888</v>
      </c>
      <c r="C84" s="1665" t="s">
        <v>631</v>
      </c>
      <c r="D84" s="2480" t="s">
        <v>898</v>
      </c>
      <c r="E84" s="1665"/>
      <c r="F84" s="1759"/>
      <c r="G84" s="1837">
        <f aca="true" t="shared" si="6" ref="G84:I85">G85</f>
        <v>20</v>
      </c>
      <c r="H84" s="2550">
        <f t="shared" si="6"/>
        <v>21</v>
      </c>
      <c r="I84" s="2550">
        <f t="shared" si="6"/>
        <v>22.05</v>
      </c>
      <c r="J84" s="1777"/>
    </row>
    <row r="85" spans="1:10" ht="20.25" customHeight="1" thickBot="1">
      <c r="A85" s="1789" t="s">
        <v>676</v>
      </c>
      <c r="B85" s="2491" t="str">
        <f>'Бюд.р.'!A321</f>
        <v>Ведомственная целевая программа по содействия развитию малого бизнеса на территории МО</v>
      </c>
      <c r="C85" s="1774">
        <v>968</v>
      </c>
      <c r="D85" s="1986" t="s">
        <v>898</v>
      </c>
      <c r="E85" s="1774" t="str">
        <f>E86</f>
        <v>795 07 00</v>
      </c>
      <c r="F85" s="1830"/>
      <c r="G85" s="2482">
        <f>G86</f>
        <v>20</v>
      </c>
      <c r="H85" s="1839">
        <f t="shared" si="6"/>
        <v>21</v>
      </c>
      <c r="I85" s="1839">
        <f t="shared" si="6"/>
        <v>22.05</v>
      </c>
      <c r="J85" s="1777"/>
    </row>
    <row r="86" spans="1:9" ht="12.75">
      <c r="A86" s="1790" t="s">
        <v>390</v>
      </c>
      <c r="B86" s="1772" t="str">
        <f>'Бюд.р.'!A322</f>
        <v>Закупка товаров, работ и услуг  для государственных (муниципальных) нужд</v>
      </c>
      <c r="C86" s="1665">
        <v>968</v>
      </c>
      <c r="D86" s="2480">
        <v>412</v>
      </c>
      <c r="E86" s="1665" t="str">
        <f>'Бюд.р.'!D322</f>
        <v>795 07 00</v>
      </c>
      <c r="F86" s="1759">
        <f>'Бюд.р.'!F322</f>
        <v>200</v>
      </c>
      <c r="G86" s="1837">
        <f>'Бюд.р.'!H322</f>
        <v>20</v>
      </c>
      <c r="H86" s="2582">
        <f>G86*1.05</f>
        <v>21</v>
      </c>
      <c r="I86" s="2582">
        <f>H86*1.05</f>
        <v>22.05</v>
      </c>
    </row>
    <row r="87" spans="1:9" ht="12.75">
      <c r="A87" s="1799" t="s">
        <v>101</v>
      </c>
      <c r="B87" s="1816" t="s">
        <v>264</v>
      </c>
      <c r="C87" s="1767" t="s">
        <v>631</v>
      </c>
      <c r="D87" s="2479" t="s">
        <v>405</v>
      </c>
      <c r="E87" s="1767"/>
      <c r="F87" s="1768"/>
      <c r="G87" s="1838">
        <f>G88</f>
        <v>50164.903</v>
      </c>
      <c r="H87" s="1838">
        <f>H88</f>
        <v>52673.14815</v>
      </c>
      <c r="I87" s="2510">
        <f>I88</f>
        <v>55306.805557499996</v>
      </c>
    </row>
    <row r="88" spans="1:9" ht="16.5" customHeight="1">
      <c r="A88" s="1791" t="s">
        <v>102</v>
      </c>
      <c r="B88" s="2481" t="s">
        <v>406</v>
      </c>
      <c r="C88" s="1774" t="s">
        <v>631</v>
      </c>
      <c r="D88" s="1986" t="s">
        <v>407</v>
      </c>
      <c r="E88" s="1774"/>
      <c r="F88" s="1830"/>
      <c r="G88" s="2482">
        <f>G89+G91+G93+G95+G97+G99+G101+G103+G105+G107</f>
        <v>50164.903</v>
      </c>
      <c r="H88" s="2482">
        <f>H89+H91+H93+H95+H97+H99+H101+H103+H105+H107</f>
        <v>52673.14815</v>
      </c>
      <c r="I88" s="1839">
        <f>I89+I91+I93+I95+I97+I99+I101+I103+I105+I107</f>
        <v>55306.805557499996</v>
      </c>
    </row>
    <row r="89" spans="1:9" ht="22.5">
      <c r="A89" s="1791" t="s">
        <v>938</v>
      </c>
      <c r="B89" s="2557" t="str">
        <f>'Бюд.р.'!A329</f>
        <v>ТЕКУЩИЙ РЕМОНТ ПРИДОМОВЫХ ТЕРРИТОРИЙ И ДВОРОВЫХ ТЕРРИТОРИЙ , ВКЛЮЧАЯ ПРОЕЗДЫ И ВЪЕЗДЫ,ПЕШЕХОДНЫЕ ДОРОЖКИ</v>
      </c>
      <c r="C89" s="2487" t="s">
        <v>631</v>
      </c>
      <c r="D89" s="2488" t="s">
        <v>407</v>
      </c>
      <c r="E89" s="2487" t="str">
        <f>E90</f>
        <v>600 01 01</v>
      </c>
      <c r="F89" s="2489"/>
      <c r="G89" s="1834">
        <f>G90</f>
        <v>32358.722999999998</v>
      </c>
      <c r="H89" s="1834">
        <f>H90</f>
        <v>33976.65915</v>
      </c>
      <c r="I89" s="2509">
        <f>I90</f>
        <v>35675.4921075</v>
      </c>
    </row>
    <row r="90" spans="1:9" ht="12" customHeight="1">
      <c r="A90" s="1792" t="s">
        <v>939</v>
      </c>
      <c r="B90" s="1772" t="str">
        <f>'Бюд.р.'!A330</f>
        <v>Закупка товаров, работ и услуг  для государственных (муниципальных) нужд</v>
      </c>
      <c r="C90" s="1665" t="s">
        <v>631</v>
      </c>
      <c r="D90" s="2480" t="s">
        <v>407</v>
      </c>
      <c r="E90" s="1665" t="str">
        <f>'Бюд.р.'!D330</f>
        <v>600 01 01</v>
      </c>
      <c r="F90" s="1759">
        <f>'Бюд.р.'!F330</f>
        <v>200</v>
      </c>
      <c r="G90" s="1833">
        <f>'Бюд.р.'!H330</f>
        <v>32358.722999999998</v>
      </c>
      <c r="H90" s="2579">
        <f>G90*1.05</f>
        <v>33976.65915</v>
      </c>
      <c r="I90" s="2579">
        <f>H90*1.05</f>
        <v>35675.4921075</v>
      </c>
    </row>
    <row r="91" spans="1:9" ht="27.75" customHeight="1">
      <c r="A91" s="1791" t="s">
        <v>940</v>
      </c>
      <c r="B91" s="2557" t="str">
        <f>'Бюд.р.'!A338</f>
        <v>ОРГАНИЗАЦИЯ ДОПОЛНИТЕЛЬНЫХ  ПАРКОВОЧНЫХ МЕСТ НА ДВОРОВЫХ ТЕРРИТОРИЯХ</v>
      </c>
      <c r="C91" s="2487" t="s">
        <v>631</v>
      </c>
      <c r="D91" s="2488" t="s">
        <v>407</v>
      </c>
      <c r="E91" s="2487" t="str">
        <f>E92</f>
        <v>600 01 02</v>
      </c>
      <c r="F91" s="2489"/>
      <c r="G91" s="1834">
        <f>G92</f>
        <v>473.057</v>
      </c>
      <c r="H91" s="1834">
        <f>H92</f>
        <v>496.70985</v>
      </c>
      <c r="I91" s="2509">
        <f>I92</f>
        <v>521.5453425000001</v>
      </c>
    </row>
    <row r="92" spans="1:9" ht="12.75" customHeight="1">
      <c r="A92" s="1792" t="s">
        <v>941</v>
      </c>
      <c r="B92" s="1772" t="str">
        <f>'Бюд.р.'!A339</f>
        <v>Закупка товаров, работ и услуг  для государственных (муниципальных) нужд</v>
      </c>
      <c r="C92" s="1665" t="s">
        <v>631</v>
      </c>
      <c r="D92" s="2480" t="s">
        <v>407</v>
      </c>
      <c r="E92" s="1665" t="str">
        <f>'Бюд.р.'!D339</f>
        <v>600 01 02</v>
      </c>
      <c r="F92" s="1759">
        <f>'Бюд.р.'!F339</f>
        <v>200</v>
      </c>
      <c r="G92" s="1833">
        <f>'Бюд.р.'!H339</f>
        <v>473.057</v>
      </c>
      <c r="H92" s="2579">
        <f>G92*1.05</f>
        <v>496.70985</v>
      </c>
      <c r="I92" s="2579">
        <f>H92*1.05</f>
        <v>521.5453425000001</v>
      </c>
    </row>
    <row r="93" spans="1:9" ht="12.75">
      <c r="A93" s="1791" t="s">
        <v>1036</v>
      </c>
      <c r="B93" s="2558" t="str">
        <f>'Бюд.р.'!A343</f>
        <v>УСТАНОВКА,СОДЕРЖАНИЕ И РЕМОНТ ОГРАЖДЕНИЙ ГАЗОНОВ </v>
      </c>
      <c r="C93" s="2487" t="s">
        <v>631</v>
      </c>
      <c r="D93" s="2488" t="s">
        <v>407</v>
      </c>
      <c r="E93" s="2487" t="str">
        <f>E94</f>
        <v>600 01 03</v>
      </c>
      <c r="F93" s="2489"/>
      <c r="G93" s="1834">
        <f>G94</f>
        <v>2616.2039999999997</v>
      </c>
      <c r="H93" s="1834">
        <f>H94</f>
        <v>2747.0141999999996</v>
      </c>
      <c r="I93" s="2509">
        <f>I94</f>
        <v>2884.36491</v>
      </c>
    </row>
    <row r="94" spans="1:9" ht="14.25" customHeight="1">
      <c r="A94" s="1792" t="s">
        <v>1037</v>
      </c>
      <c r="B94" s="1772" t="str">
        <f>'Бюд.р.'!A344</f>
        <v>Закупка товаров, работ и услуг  для государственных (муниципальных) нужд</v>
      </c>
      <c r="C94" s="1665" t="s">
        <v>631</v>
      </c>
      <c r="D94" s="2480" t="s">
        <v>407</v>
      </c>
      <c r="E94" s="1665" t="str">
        <f>'Бюд.р.'!D344</f>
        <v>600 01 03</v>
      </c>
      <c r="F94" s="1759">
        <f>'Бюд.р.'!F344</f>
        <v>200</v>
      </c>
      <c r="G94" s="1833">
        <f>'Бюд.р.'!H344</f>
        <v>2616.2039999999997</v>
      </c>
      <c r="H94" s="2579">
        <f>G94*1.05</f>
        <v>2747.0141999999996</v>
      </c>
      <c r="I94" s="2579">
        <f>H94*1.05</f>
        <v>2884.36491</v>
      </c>
    </row>
    <row r="95" spans="1:9" ht="33.75" customHeight="1">
      <c r="A95" s="1800" t="s">
        <v>942</v>
      </c>
      <c r="B95" s="2558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5" s="2487" t="s">
        <v>631</v>
      </c>
      <c r="D95" s="2488" t="s">
        <v>407</v>
      </c>
      <c r="E95" s="2487" t="str">
        <f>E96</f>
        <v>600 01 04</v>
      </c>
      <c r="F95" s="2489"/>
      <c r="G95" s="1834">
        <f>G96</f>
        <v>673.738</v>
      </c>
      <c r="H95" s="1834">
        <f>H96</f>
        <v>707.4249000000001</v>
      </c>
      <c r="I95" s="2509">
        <f>I96</f>
        <v>742.7961450000001</v>
      </c>
    </row>
    <row r="96" spans="1:9" ht="12.75">
      <c r="A96" s="1791" t="s">
        <v>943</v>
      </c>
      <c r="B96" s="1772" t="str">
        <f>'Бюд.р.'!A355</f>
        <v>Закупка товаров, работ и услуг  для государственных (муниципальных) нужд</v>
      </c>
      <c r="C96" s="1665" t="s">
        <v>631</v>
      </c>
      <c r="D96" s="2480" t="s">
        <v>407</v>
      </c>
      <c r="E96" s="1665" t="str">
        <f>'Бюд.р.'!D355</f>
        <v>600 01 04</v>
      </c>
      <c r="F96" s="1759">
        <f>'Бюд.р.'!F355</f>
        <v>200</v>
      </c>
      <c r="G96" s="1833">
        <f>'Бюд.р.'!H356</f>
        <v>673.738</v>
      </c>
      <c r="H96" s="2579">
        <f>G96*1.05</f>
        <v>707.4249000000001</v>
      </c>
      <c r="I96" s="2579">
        <f>H96*1.05</f>
        <v>742.7961450000001</v>
      </c>
    </row>
    <row r="97" spans="1:9" ht="27" customHeight="1">
      <c r="A97" s="1801" t="s">
        <v>944</v>
      </c>
      <c r="B97" s="2492" t="s">
        <v>1293</v>
      </c>
      <c r="C97" s="2487" t="s">
        <v>631</v>
      </c>
      <c r="D97" s="2488" t="s">
        <v>407</v>
      </c>
      <c r="E97" s="2487" t="str">
        <f>E98</f>
        <v>600 02 04</v>
      </c>
      <c r="F97" s="2493"/>
      <c r="G97" s="1834">
        <f>G98</f>
        <v>350</v>
      </c>
      <c r="H97" s="1834">
        <f>H98</f>
        <v>367.5</v>
      </c>
      <c r="I97" s="2509">
        <f>I98</f>
        <v>385.875</v>
      </c>
    </row>
    <row r="98" spans="1:9" ht="18" customHeight="1">
      <c r="A98" s="1801"/>
      <c r="B98" s="1817" t="str">
        <f>'Бюд.р.'!A375</f>
        <v>Закупка товаров, работ и услуг  для государственных (муниципальных) нужд</v>
      </c>
      <c r="C98" s="1665">
        <v>968</v>
      </c>
      <c r="D98" s="2480" t="s">
        <v>407</v>
      </c>
      <c r="E98" s="1665" t="str">
        <f>'Бюд.р.'!D375</f>
        <v>600 02 04</v>
      </c>
      <c r="F98" s="1778">
        <f>'Бюд.р.'!F375</f>
        <v>200</v>
      </c>
      <c r="G98" s="1833">
        <f>'Бюд.р.'!H375</f>
        <v>350</v>
      </c>
      <c r="H98" s="2578">
        <f>G98*1.05</f>
        <v>367.5</v>
      </c>
      <c r="I98" s="2578">
        <f>H98*1.05</f>
        <v>385.875</v>
      </c>
    </row>
    <row r="99" spans="1:9" ht="22.5">
      <c r="A99" s="1791" t="s">
        <v>945</v>
      </c>
      <c r="B99" s="2558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C99" s="2487" t="s">
        <v>631</v>
      </c>
      <c r="D99" s="2488" t="s">
        <v>407</v>
      </c>
      <c r="E99" s="2487" t="str">
        <f>E100</f>
        <v>600 03 01</v>
      </c>
      <c r="F99" s="2489"/>
      <c r="G99" s="1834">
        <f>G100</f>
        <v>7555.506</v>
      </c>
      <c r="H99" s="1834">
        <f>H100</f>
        <v>7933.281300000001</v>
      </c>
      <c r="I99" s="2509">
        <f>I100</f>
        <v>8329.945365000001</v>
      </c>
    </row>
    <row r="100" spans="1:9" ht="12.75">
      <c r="A100" s="1791"/>
      <c r="B100" s="2559" t="str">
        <f>'Бюд.р.'!A384</f>
        <v>Закупка товаров, работ и услуг  для государственных (муниципальных) нужд</v>
      </c>
      <c r="C100" s="1748">
        <v>968</v>
      </c>
      <c r="D100" s="1976" t="s">
        <v>407</v>
      </c>
      <c r="E100" s="1748" t="str">
        <f>'Бюд.р.'!D384</f>
        <v>600 03 01</v>
      </c>
      <c r="F100" s="1749">
        <f>'Бюд.р.'!F384</f>
        <v>200</v>
      </c>
      <c r="G100" s="1835">
        <f>'Бюд.р.'!H384</f>
        <v>7555.506</v>
      </c>
      <c r="H100" s="1973">
        <f>G100*1.05</f>
        <v>7933.281300000001</v>
      </c>
      <c r="I100" s="1973">
        <f>H100*1.05</f>
        <v>8329.945365000001</v>
      </c>
    </row>
    <row r="101" spans="1:9" ht="41.25" customHeight="1">
      <c r="A101" s="1801" t="s">
        <v>946</v>
      </c>
      <c r="B101" s="2491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101" s="2487" t="s">
        <v>631</v>
      </c>
      <c r="D101" s="2488" t="s">
        <v>407</v>
      </c>
      <c r="E101" s="2487" t="str">
        <f>E102</f>
        <v>600 03 02</v>
      </c>
      <c r="F101" s="2489"/>
      <c r="G101" s="1834">
        <f>G102</f>
        <v>300</v>
      </c>
      <c r="H101" s="1834">
        <f>H102</f>
        <v>315</v>
      </c>
      <c r="I101" s="2509">
        <f>I102</f>
        <v>330.75</v>
      </c>
    </row>
    <row r="102" spans="1:9" ht="16.5" customHeight="1">
      <c r="A102" s="1801"/>
      <c r="B102" s="1772" t="str">
        <f>'Бюд.р.'!A394</f>
        <v>Закупка товаров, работ и услуг  для государственных (муниципальных) нужд</v>
      </c>
      <c r="C102" s="1665">
        <v>968</v>
      </c>
      <c r="D102" s="2480" t="s">
        <v>407</v>
      </c>
      <c r="E102" s="1665" t="str">
        <f>'Бюд.р.'!D394</f>
        <v>600 03 02</v>
      </c>
      <c r="F102" s="1759">
        <f>'Бюд.р.'!F394</f>
        <v>200</v>
      </c>
      <c r="G102" s="1833">
        <f>'Бюд.р.'!H394</f>
        <v>300</v>
      </c>
      <c r="H102" s="2579">
        <f>G102*1.05</f>
        <v>315</v>
      </c>
      <c r="I102" s="2579">
        <f>H102*1.05</f>
        <v>330.75</v>
      </c>
    </row>
    <row r="103" spans="1:9" ht="22.5">
      <c r="A103" s="1802" t="s">
        <v>947</v>
      </c>
      <c r="B103" s="2557" t="str">
        <f>'Бюд.р.'!A405</f>
        <v>ОРГАНИЗАЦИЯ УЧЕТА ЗЕЛЕНЫХ НАСАЖДЕНИЙ ВНУТРИКВАРТАЛЬНОГО ОЗЕЛЕНЕНИЯ </v>
      </c>
      <c r="C103" s="2487" t="s">
        <v>631</v>
      </c>
      <c r="D103" s="2488" t="s">
        <v>407</v>
      </c>
      <c r="E103" s="2487" t="str">
        <f>E104</f>
        <v>600 03 05</v>
      </c>
      <c r="F103" s="2489"/>
      <c r="G103" s="1834">
        <f>G104</f>
        <v>150</v>
      </c>
      <c r="H103" s="1834">
        <f>H104</f>
        <v>157.5</v>
      </c>
      <c r="I103" s="2509">
        <f>I104</f>
        <v>165.375</v>
      </c>
    </row>
    <row r="104" spans="1:9" ht="16.5" customHeight="1">
      <c r="A104" s="1802"/>
      <c r="B104" s="2560" t="str">
        <f>'Бюд.р.'!A406</f>
        <v>Закупка товаров, работ и услуг  для государственных (муниципальных) нужд</v>
      </c>
      <c r="C104" s="1665">
        <v>968</v>
      </c>
      <c r="D104" s="2480" t="s">
        <v>407</v>
      </c>
      <c r="E104" s="1665" t="str">
        <f>'Бюд.р.'!D406</f>
        <v>600 03 05</v>
      </c>
      <c r="F104" s="1759">
        <f>'Бюд.р.'!F406</f>
        <v>200</v>
      </c>
      <c r="G104" s="1833">
        <f>'Бюд.р.'!H406</f>
        <v>150</v>
      </c>
      <c r="H104" s="2578">
        <f>G104*1.05</f>
        <v>157.5</v>
      </c>
      <c r="I104" s="2578">
        <f>H104*1.05</f>
        <v>165.375</v>
      </c>
    </row>
    <row r="105" spans="1:9" ht="28.5" customHeight="1">
      <c r="A105" s="1803" t="s">
        <v>948</v>
      </c>
      <c r="B105" s="2491" t="str">
        <f>'Бюд.р.'!A411</f>
        <v>СОЗДАНИЕ ЗОН ОТДЫХА, В ТОМ ЧИСЛЕ ОБУСТРОЙСТВО, СОДЕРЖАНИЕ И УБОРКА ТЕРРИТОРИЙ ДЕТСКИХ ПЛОЩАДОК</v>
      </c>
      <c r="C105" s="2487" t="s">
        <v>631</v>
      </c>
      <c r="D105" s="2488" t="s">
        <v>407</v>
      </c>
      <c r="E105" s="2487" t="str">
        <f>E106</f>
        <v>600 04 01</v>
      </c>
      <c r="F105" s="2489"/>
      <c r="G105" s="1834">
        <f>G106</f>
        <v>4248.240999999999</v>
      </c>
      <c r="H105" s="1834">
        <f>H106</f>
        <v>4460.653049999999</v>
      </c>
      <c r="I105" s="2509">
        <f>I106</f>
        <v>4683.685702499999</v>
      </c>
    </row>
    <row r="106" spans="1:9" ht="18" customHeight="1">
      <c r="A106" s="1803"/>
      <c r="B106" s="1772" t="str">
        <f>'Бюд.р.'!A412</f>
        <v>Закупка товаров, работ и услуг  для государственных (муниципальных) нужд</v>
      </c>
      <c r="C106" s="1665">
        <v>968</v>
      </c>
      <c r="D106" s="2480" t="s">
        <v>407</v>
      </c>
      <c r="E106" s="1665" t="str">
        <f>'Бюд.р.'!D412</f>
        <v>600 04 01</v>
      </c>
      <c r="F106" s="1759">
        <f>'Бюд.р.'!F412</f>
        <v>200</v>
      </c>
      <c r="G106" s="1833">
        <f>'Бюд.р.'!H412</f>
        <v>4248.240999999999</v>
      </c>
      <c r="H106" s="2579">
        <f>G106*1.05</f>
        <v>4460.653049999999</v>
      </c>
      <c r="I106" s="2579">
        <f>H106*1.05</f>
        <v>4683.685702499999</v>
      </c>
    </row>
    <row r="107" spans="1:9" ht="18" customHeight="1">
      <c r="A107" s="1802" t="s">
        <v>950</v>
      </c>
      <c r="B107" s="2491" t="str">
        <f>'Бюд.р.'!A419</f>
        <v>ОБУСТРОЙСТВО, СОДЕРЖАНИЕ И УБОРКА ТЕРРИТОРИЙ СПОРТИВНЫХ ПЛОЩАДОК</v>
      </c>
      <c r="C107" s="2487" t="s">
        <v>631</v>
      </c>
      <c r="D107" s="2488" t="s">
        <v>407</v>
      </c>
      <c r="E107" s="2487" t="str">
        <f>E108</f>
        <v>600 04 02</v>
      </c>
      <c r="F107" s="2489"/>
      <c r="G107" s="1834">
        <f>G108</f>
        <v>1439.434</v>
      </c>
      <c r="H107" s="1834">
        <f>H108</f>
        <v>1511.4057</v>
      </c>
      <c r="I107" s="2509">
        <f>I108</f>
        <v>1586.975985</v>
      </c>
    </row>
    <row r="108" spans="1:9" ht="18.75" customHeight="1">
      <c r="A108" s="1801" t="s">
        <v>960</v>
      </c>
      <c r="B108" s="1772" t="str">
        <f>'Бюд.р.'!A420</f>
        <v>Закупка товаров, работ и услуг  для государственных (муниципальных) нужд</v>
      </c>
      <c r="C108" s="1665" t="s">
        <v>631</v>
      </c>
      <c r="D108" s="2480" t="s">
        <v>407</v>
      </c>
      <c r="E108" s="1665" t="str">
        <f>'Бюд.р.'!D420</f>
        <v>600 04 02</v>
      </c>
      <c r="F108" s="1759">
        <f>'Бюд.р.'!F420</f>
        <v>200</v>
      </c>
      <c r="G108" s="1833">
        <f>'Бюд.р.'!H420</f>
        <v>1439.434</v>
      </c>
      <c r="H108" s="2579">
        <f>G108*1.05</f>
        <v>1511.4057</v>
      </c>
      <c r="I108" s="2579">
        <f>H108*1.05</f>
        <v>1586.975985</v>
      </c>
    </row>
    <row r="109" spans="1:9" ht="12.75" hidden="1">
      <c r="A109" s="1802" t="s">
        <v>7</v>
      </c>
      <c r="B109" s="1816" t="s">
        <v>733</v>
      </c>
      <c r="C109" s="1767" t="s">
        <v>631</v>
      </c>
      <c r="D109" s="2479" t="s">
        <v>734</v>
      </c>
      <c r="E109" s="1815"/>
      <c r="F109" s="1771"/>
      <c r="G109" s="1838">
        <f aca="true" t="shared" si="7" ref="G109:I111">G110</f>
        <v>0</v>
      </c>
      <c r="H109" s="2510">
        <f t="shared" si="7"/>
        <v>0</v>
      </c>
      <c r="I109" s="2510">
        <f t="shared" si="7"/>
        <v>0</v>
      </c>
    </row>
    <row r="110" spans="1:10" ht="18" customHeight="1" hidden="1" thickBot="1">
      <c r="A110" s="1806" t="s">
        <v>8</v>
      </c>
      <c r="B110" s="1817" t="s">
        <v>736</v>
      </c>
      <c r="C110" s="1665" t="s">
        <v>631</v>
      </c>
      <c r="D110" s="2480" t="s">
        <v>735</v>
      </c>
      <c r="E110" s="1665"/>
      <c r="F110" s="1759"/>
      <c r="G110" s="1837">
        <f t="shared" si="7"/>
        <v>0</v>
      </c>
      <c r="H110" s="2550">
        <f t="shared" si="7"/>
        <v>0</v>
      </c>
      <c r="I110" s="2550">
        <f t="shared" si="7"/>
        <v>0</v>
      </c>
      <c r="J110" s="1777"/>
    </row>
    <row r="111" spans="1:9" ht="24.75" hidden="1" thickBot="1">
      <c r="A111" s="1804" t="s">
        <v>678</v>
      </c>
      <c r="B111" s="1816" t="s">
        <v>737</v>
      </c>
      <c r="C111" s="1767" t="s">
        <v>631</v>
      </c>
      <c r="D111" s="2479" t="s">
        <v>735</v>
      </c>
      <c r="E111" s="1767" t="s">
        <v>738</v>
      </c>
      <c r="F111" s="1768"/>
      <c r="G111" s="1838">
        <f t="shared" si="7"/>
        <v>0</v>
      </c>
      <c r="H111" s="2510">
        <f t="shared" si="7"/>
        <v>0</v>
      </c>
      <c r="I111" s="2510">
        <f t="shared" si="7"/>
        <v>0</v>
      </c>
    </row>
    <row r="112" spans="1:9" ht="24" customHeight="1" hidden="1">
      <c r="A112" s="1805" t="s">
        <v>103</v>
      </c>
      <c r="B112" s="1772" t="str">
        <f>'Бюд.р.'!A436</f>
        <v>Прочая закупка товаров, работ и услуг для муниципальных нужд</v>
      </c>
      <c r="C112" s="1815" t="s">
        <v>631</v>
      </c>
      <c r="D112" s="2561" t="s">
        <v>735</v>
      </c>
      <c r="E112" s="1815" t="s">
        <v>738</v>
      </c>
      <c r="F112" s="1771">
        <f>'Бюд.р.'!F436</f>
        <v>244</v>
      </c>
      <c r="G112" s="1837">
        <f>'Бюд.р.'!H436</f>
        <v>0</v>
      </c>
      <c r="H112" s="2582">
        <f>G112*1.05</f>
        <v>0</v>
      </c>
      <c r="I112" s="2582">
        <f>H112*1.05</f>
        <v>0</v>
      </c>
    </row>
    <row r="113" spans="1:9" ht="12.75">
      <c r="A113" s="1802" t="s">
        <v>104</v>
      </c>
      <c r="B113" s="1816" t="s">
        <v>271</v>
      </c>
      <c r="C113" s="1767" t="s">
        <v>631</v>
      </c>
      <c r="D113" s="2479" t="s">
        <v>379</v>
      </c>
      <c r="E113" s="1815"/>
      <c r="F113" s="1829"/>
      <c r="G113" s="1838">
        <f>G114+G119+G130</f>
        <v>4911.45</v>
      </c>
      <c r="H113" s="1838">
        <f>H114+H119+H130</f>
        <v>5157.0225</v>
      </c>
      <c r="I113" s="1838">
        <f>I114+I119+I130</f>
        <v>5414.873625</v>
      </c>
    </row>
    <row r="114" spans="1:9" ht="13.5" customHeight="1">
      <c r="A114" s="2494"/>
      <c r="B114" s="2495" t="str">
        <f>'Рас.Пр.3'!B102</f>
        <v>Профессиональная подготовка, переподготовка и повышение квалификации
</v>
      </c>
      <c r="C114" s="1767">
        <v>968</v>
      </c>
      <c r="D114" s="2479" t="s">
        <v>1054</v>
      </c>
      <c r="E114" s="1815"/>
      <c r="F114" s="1829"/>
      <c r="G114" s="1838">
        <f>G115+G117</f>
        <v>255</v>
      </c>
      <c r="H114" s="1838">
        <f>H115+H117</f>
        <v>267.75</v>
      </c>
      <c r="I114" s="2510">
        <f>I115+I117</f>
        <v>281.13750000000005</v>
      </c>
    </row>
    <row r="115" spans="1:9" ht="39.75" customHeight="1">
      <c r="A115" s="2494"/>
      <c r="B115" s="1816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5" s="1767">
        <v>968</v>
      </c>
      <c r="D115" s="2479" t="s">
        <v>1054</v>
      </c>
      <c r="E115" s="1815" t="str">
        <f>E116</f>
        <v>428 01 01</v>
      </c>
      <c r="F115" s="1829"/>
      <c r="G115" s="1838">
        <f>G116</f>
        <v>17</v>
      </c>
      <c r="H115" s="1838">
        <f>H116</f>
        <v>17.85</v>
      </c>
      <c r="I115" s="2510">
        <f>I116</f>
        <v>18.742500000000003</v>
      </c>
    </row>
    <row r="116" spans="1:9" ht="18" customHeight="1">
      <c r="A116" s="1807" t="s">
        <v>105</v>
      </c>
      <c r="B116" s="1817" t="str">
        <f>'Бюд.р.'!A444</f>
        <v>Закупка товаров, работ и услуг  для государственных (муниципальных) нужд</v>
      </c>
      <c r="C116" s="1665" t="s">
        <v>631</v>
      </c>
      <c r="D116" s="2480" t="s">
        <v>1054</v>
      </c>
      <c r="E116" s="1665" t="str">
        <f>'Бюд.р.'!D444</f>
        <v>428 01 01</v>
      </c>
      <c r="F116" s="1778">
        <f>'Бюд.р.'!F444</f>
        <v>200</v>
      </c>
      <c r="G116" s="1837">
        <f>'Бюд.р.'!H444</f>
        <v>17</v>
      </c>
      <c r="H116" s="2550">
        <f>G116*1.05</f>
        <v>17.85</v>
      </c>
      <c r="I116" s="2550">
        <f>H116*1.05</f>
        <v>18.742500000000003</v>
      </c>
    </row>
    <row r="117" spans="1:9" ht="39.75" customHeight="1">
      <c r="A117" s="1807"/>
      <c r="B117" s="1816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17" s="1767">
        <v>968</v>
      </c>
      <c r="D117" s="2479" t="s">
        <v>1054</v>
      </c>
      <c r="E117" s="1815" t="str">
        <f>E118</f>
        <v>428 01 02</v>
      </c>
      <c r="F117" s="1829"/>
      <c r="G117" s="1838">
        <f>G118</f>
        <v>238</v>
      </c>
      <c r="H117" s="1838">
        <f>H118</f>
        <v>249.9</v>
      </c>
      <c r="I117" s="2510">
        <f>I118</f>
        <v>262.39500000000004</v>
      </c>
    </row>
    <row r="118" spans="1:9" ht="18" customHeight="1">
      <c r="A118" s="1807"/>
      <c r="B118" s="1817" t="str">
        <f>'Бюд.р.'!A449</f>
        <v>Закупка товаров, работ и услуг  для государственных (муниципальных) нужд</v>
      </c>
      <c r="C118" s="1665" t="s">
        <v>631</v>
      </c>
      <c r="D118" s="2480" t="s">
        <v>1054</v>
      </c>
      <c r="E118" s="1665" t="str">
        <f>'Бюд.р.'!D449</f>
        <v>428 01 02</v>
      </c>
      <c r="F118" s="1778">
        <f>'Бюд.р.'!G446</f>
        <v>200</v>
      </c>
      <c r="G118" s="1837">
        <f>'Бюд.р.'!H449</f>
        <v>238</v>
      </c>
      <c r="H118" s="2550">
        <f>G118*1.05</f>
        <v>249.9</v>
      </c>
      <c r="I118" s="2550">
        <f>H118*1.05</f>
        <v>262.39500000000004</v>
      </c>
    </row>
    <row r="119" spans="1:9" ht="18" customHeight="1">
      <c r="A119" s="1801" t="s">
        <v>3</v>
      </c>
      <c r="B119" s="2496" t="s">
        <v>378</v>
      </c>
      <c r="C119" s="1774" t="s">
        <v>631</v>
      </c>
      <c r="D119" s="1986" t="s">
        <v>380</v>
      </c>
      <c r="E119" s="1774"/>
      <c r="F119" s="2062"/>
      <c r="G119" s="2482">
        <f>G120+G122+G124+G126+G128</f>
        <v>4519.95</v>
      </c>
      <c r="H119" s="2482">
        <f>H120+H122+H124+H126+H128</f>
        <v>4745.9475</v>
      </c>
      <c r="I119" s="2482">
        <f>I120+I122+I124+I126+I128</f>
        <v>4983.244875</v>
      </c>
    </row>
    <row r="120" spans="1:9" ht="24" customHeight="1">
      <c r="A120" s="1801"/>
      <c r="B120" s="2483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20" s="1774" t="s">
        <v>631</v>
      </c>
      <c r="D120" s="1986" t="s">
        <v>380</v>
      </c>
      <c r="E120" s="1774" t="str">
        <f>'Бюд.р.'!D454</f>
        <v>795 01 00</v>
      </c>
      <c r="F120" s="1830"/>
      <c r="G120" s="2482">
        <f>G121</f>
        <v>877.5</v>
      </c>
      <c r="H120" s="1839">
        <f>H121</f>
        <v>921.375</v>
      </c>
      <c r="I120" s="1839">
        <f>I121</f>
        <v>967.44375</v>
      </c>
    </row>
    <row r="121" spans="1:9" ht="18" customHeight="1">
      <c r="A121" s="1801"/>
      <c r="B121" s="1772" t="str">
        <f>'Бюд.р.'!A455</f>
        <v>Закупка товаров, работ и услуг  для государственных (муниципальных) нужд</v>
      </c>
      <c r="C121" s="1665" t="s">
        <v>631</v>
      </c>
      <c r="D121" s="2480" t="s">
        <v>380</v>
      </c>
      <c r="E121" s="1665" t="str">
        <f>'Бюд.р.'!D455</f>
        <v>795 01 00</v>
      </c>
      <c r="F121" s="1759">
        <f>'Бюд.р.'!F455</f>
        <v>200</v>
      </c>
      <c r="G121" s="1837">
        <f>'Бюд.р.'!H455</f>
        <v>877.5</v>
      </c>
      <c r="H121" s="2582">
        <f>G121*1.05</f>
        <v>921.375</v>
      </c>
      <c r="I121" s="2582">
        <f>H121*1.05</f>
        <v>967.44375</v>
      </c>
    </row>
    <row r="122" spans="1:9" ht="36" customHeight="1">
      <c r="A122" s="1801"/>
      <c r="B122" s="2483" t="str">
        <f>'Бюд.р.'!A460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2" s="1774" t="s">
        <v>631</v>
      </c>
      <c r="D122" s="1986" t="s">
        <v>380</v>
      </c>
      <c r="E122" s="1774" t="str">
        <f>E123</f>
        <v>795 04 00</v>
      </c>
      <c r="F122" s="1830"/>
      <c r="G122" s="2482">
        <f>G123</f>
        <v>185</v>
      </c>
      <c r="H122" s="1839">
        <f>H123</f>
        <v>194.25</v>
      </c>
      <c r="I122" s="1839">
        <f>I123</f>
        <v>203.9625</v>
      </c>
    </row>
    <row r="123" spans="1:9" ht="18" customHeight="1">
      <c r="A123" s="1801"/>
      <c r="B123" s="1772" t="str">
        <f>'Бюд.р.'!A461</f>
        <v>Закупка товаров, работ и услуг  для государственных (муниципальных) нужд</v>
      </c>
      <c r="C123" s="1665" t="s">
        <v>631</v>
      </c>
      <c r="D123" s="2480" t="s">
        <v>380</v>
      </c>
      <c r="E123" s="1665" t="str">
        <f>'Бюд.р.'!D462</f>
        <v>795 04 00</v>
      </c>
      <c r="F123" s="1759">
        <f>'Бюд.р.'!F461</f>
        <v>200</v>
      </c>
      <c r="G123" s="1837">
        <f>'Бюд.р.'!H464</f>
        <v>185</v>
      </c>
      <c r="H123" s="2582">
        <f>G123*1.05</f>
        <v>194.25</v>
      </c>
      <c r="I123" s="2582">
        <f>H123*1.05</f>
        <v>203.9625</v>
      </c>
    </row>
    <row r="124" spans="1:9" ht="34.5" customHeight="1">
      <c r="A124" s="1801"/>
      <c r="B124" s="2483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24" s="1774" t="s">
        <v>631</v>
      </c>
      <c r="D124" s="1986" t="s">
        <v>380</v>
      </c>
      <c r="E124" s="1774" t="str">
        <f>'Бюд.р.'!D482</f>
        <v>795 05 00</v>
      </c>
      <c r="F124" s="1830"/>
      <c r="G124" s="2482">
        <f>G125</f>
        <v>100</v>
      </c>
      <c r="H124" s="1839">
        <f>H125</f>
        <v>105</v>
      </c>
      <c r="I124" s="1839">
        <f>I125</f>
        <v>110.25</v>
      </c>
    </row>
    <row r="125" spans="1:9" ht="18" customHeight="1">
      <c r="A125" s="1801"/>
      <c r="B125" s="1772" t="str">
        <f>'Бюд.р.'!A483</f>
        <v>Закупка товаров, работ и услуг  для государственных (муниципальных) нужд</v>
      </c>
      <c r="C125" s="1665" t="s">
        <v>631</v>
      </c>
      <c r="D125" s="2480" t="s">
        <v>380</v>
      </c>
      <c r="E125" s="1665" t="str">
        <f>'Бюд.р.'!D483</f>
        <v>795 05 00</v>
      </c>
      <c r="F125" s="1759">
        <f>'Бюд.р.'!F483</f>
        <v>200</v>
      </c>
      <c r="G125" s="1837">
        <f>'Бюд.р.'!H483</f>
        <v>100</v>
      </c>
      <c r="H125" s="2582">
        <f>G125*1.05</f>
        <v>105</v>
      </c>
      <c r="I125" s="2582">
        <f>H125*1.05</f>
        <v>110.25</v>
      </c>
    </row>
    <row r="126" spans="1:9" ht="27.75" customHeight="1">
      <c r="A126" s="1802" t="s">
        <v>972</v>
      </c>
      <c r="B126" s="2483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C126" s="1774" t="s">
        <v>631</v>
      </c>
      <c r="D126" s="1986" t="s">
        <v>380</v>
      </c>
      <c r="E126" s="1774" t="str">
        <f>E127</f>
        <v>795 08 00</v>
      </c>
      <c r="F126" s="1830"/>
      <c r="G126" s="2482">
        <f>G127</f>
        <v>1545.45</v>
      </c>
      <c r="H126" s="1839">
        <f>H127</f>
        <v>1622.7225</v>
      </c>
      <c r="I126" s="1839">
        <f>I127</f>
        <v>1703.858625</v>
      </c>
    </row>
    <row r="127" spans="1:9" ht="18" customHeight="1">
      <c r="A127" s="1801" t="s">
        <v>973</v>
      </c>
      <c r="B127" s="1772" t="str">
        <f>'Бюд.р.'!A466</f>
        <v>Закупка товаров, работ и услуг  для государственных (муниципальных) нужд</v>
      </c>
      <c r="C127" s="1665" t="s">
        <v>631</v>
      </c>
      <c r="D127" s="2480" t="s">
        <v>380</v>
      </c>
      <c r="E127" s="1665" t="str">
        <f>'Бюд.р.'!D466</f>
        <v>795 08 00</v>
      </c>
      <c r="F127" s="1759">
        <f>'Бюд.р.'!G468</f>
        <v>200</v>
      </c>
      <c r="G127" s="1837">
        <f>'Бюд.р.'!H468</f>
        <v>1545.45</v>
      </c>
      <c r="H127" s="2582">
        <f>G127*1.05</f>
        <v>1622.7225</v>
      </c>
      <c r="I127" s="2582">
        <f>H127*1.05</f>
        <v>1703.858625</v>
      </c>
    </row>
    <row r="128" spans="1:9" ht="27" customHeight="1">
      <c r="A128" s="1802" t="s">
        <v>521</v>
      </c>
      <c r="B128" s="1824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C128" s="1774" t="s">
        <v>631</v>
      </c>
      <c r="D128" s="1986" t="s">
        <v>380</v>
      </c>
      <c r="E128" s="1774" t="str">
        <f>E129</f>
        <v>795 06 00</v>
      </c>
      <c r="F128" s="1830"/>
      <c r="G128" s="2482">
        <f>G129</f>
        <v>1812</v>
      </c>
      <c r="H128" s="2482">
        <f>H129</f>
        <v>1902.6000000000001</v>
      </c>
      <c r="I128" s="1839">
        <f>I129</f>
        <v>1997.7300000000002</v>
      </c>
    </row>
    <row r="129" spans="1:9" ht="17.25" customHeight="1">
      <c r="A129" s="2494"/>
      <c r="B129" s="1772" t="str">
        <f>'Бюд.р.'!A474</f>
        <v>Закупка товаров, работ и услуг  для государственных (муниципальных) нужд</v>
      </c>
      <c r="C129" s="1665">
        <v>968</v>
      </c>
      <c r="D129" s="2480" t="s">
        <v>380</v>
      </c>
      <c r="E129" s="1665" t="str">
        <f>'Бюд.р.'!D474</f>
        <v>795 06 00</v>
      </c>
      <c r="F129" s="1759">
        <f>'Бюд.р.'!F474</f>
        <v>200</v>
      </c>
      <c r="G129" s="1837">
        <f>'Бюд.р.'!H474</f>
        <v>1812</v>
      </c>
      <c r="H129" s="2582">
        <f>G129*1.05</f>
        <v>1902.6000000000001</v>
      </c>
      <c r="I129" s="2582">
        <f>H129*1.05</f>
        <v>1997.7300000000002</v>
      </c>
    </row>
    <row r="130" spans="1:9" ht="13.5" customHeight="1">
      <c r="A130" s="1806" t="s">
        <v>522</v>
      </c>
      <c r="B130" s="2497" t="s">
        <v>10</v>
      </c>
      <c r="C130" s="1774" t="s">
        <v>631</v>
      </c>
      <c r="D130" s="1986" t="s">
        <v>14</v>
      </c>
      <c r="E130" s="1774"/>
      <c r="F130" s="2062"/>
      <c r="G130" s="2482">
        <f>G131+G133</f>
        <v>136.5</v>
      </c>
      <c r="H130" s="2482">
        <f>H131+H133</f>
        <v>143.325</v>
      </c>
      <c r="I130" s="1839">
        <f>I131+I133</f>
        <v>150.49125</v>
      </c>
    </row>
    <row r="131" spans="1:9" ht="24">
      <c r="A131" s="1802" t="s">
        <v>907</v>
      </c>
      <c r="B131" s="1822" t="s">
        <v>1014</v>
      </c>
      <c r="C131" s="1767" t="s">
        <v>631</v>
      </c>
      <c r="D131" s="2479" t="s">
        <v>14</v>
      </c>
      <c r="E131" s="1767" t="str">
        <f>E132</f>
        <v>795 01 00</v>
      </c>
      <c r="F131" s="1768"/>
      <c r="G131" s="1838">
        <f>G132</f>
        <v>30</v>
      </c>
      <c r="H131" s="1838">
        <f>H132</f>
        <v>31.5</v>
      </c>
      <c r="I131" s="2510">
        <f>I132</f>
        <v>33.075</v>
      </c>
    </row>
    <row r="132" spans="1:9" ht="13.5" customHeight="1" thickBot="1">
      <c r="A132" s="1806" t="s">
        <v>908</v>
      </c>
      <c r="B132" s="1772" t="str">
        <f>'Бюд.р.'!A491</f>
        <v>Закупка товаров, работ и услуг  для государственных (муниципальных) нужд</v>
      </c>
      <c r="C132" s="1815" t="s">
        <v>631</v>
      </c>
      <c r="D132" s="2561" t="s">
        <v>14</v>
      </c>
      <c r="E132" s="1815" t="str">
        <f>'Бюд.р.'!D491</f>
        <v>795 01 00</v>
      </c>
      <c r="F132" s="1771">
        <f>'Бюд.р.'!F491</f>
        <v>200</v>
      </c>
      <c r="G132" s="1837">
        <f>'Бюд.р.'!H491</f>
        <v>30</v>
      </c>
      <c r="H132" s="2582">
        <f>G132*1.05</f>
        <v>31.5</v>
      </c>
      <c r="I132" s="2582">
        <f>H132*1.05</f>
        <v>33.075</v>
      </c>
    </row>
    <row r="133" spans="1:9" ht="48.75" thickBot="1">
      <c r="A133" s="1804" t="s">
        <v>465</v>
      </c>
      <c r="B133" s="1822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33" s="1767" t="s">
        <v>631</v>
      </c>
      <c r="D133" s="2479" t="s">
        <v>14</v>
      </c>
      <c r="E133" s="1767" t="str">
        <f>E134</f>
        <v>795 04 00</v>
      </c>
      <c r="F133" s="1768"/>
      <c r="G133" s="1838">
        <f>G134</f>
        <v>106.5</v>
      </c>
      <c r="H133" s="1838">
        <f>H134</f>
        <v>111.825</v>
      </c>
      <c r="I133" s="2510">
        <f>I134</f>
        <v>117.41625</v>
      </c>
    </row>
    <row r="134" spans="1:9" ht="12.75">
      <c r="A134" s="1805" t="s">
        <v>519</v>
      </c>
      <c r="B134" s="1772" t="str">
        <f>'Бюд.р.'!A500</f>
        <v>Закупка товаров, работ и услуг  для государственных (муниципальных) нужд</v>
      </c>
      <c r="C134" s="1815" t="s">
        <v>631</v>
      </c>
      <c r="D134" s="2561" t="s">
        <v>14</v>
      </c>
      <c r="E134" s="1815" t="s">
        <v>151</v>
      </c>
      <c r="F134" s="1771">
        <f>'Бюд.р.'!F500</f>
        <v>200</v>
      </c>
      <c r="G134" s="1837">
        <f>'Бюд.р.'!H500</f>
        <v>106.5</v>
      </c>
      <c r="H134" s="2582">
        <f>G134*1.05</f>
        <v>111.825</v>
      </c>
      <c r="I134" s="2582">
        <f>H134*1.05</f>
        <v>117.41625</v>
      </c>
    </row>
    <row r="135" spans="1:9" ht="16.5" customHeight="1">
      <c r="A135" s="1802" t="s">
        <v>523</v>
      </c>
      <c r="B135" s="1816" t="s">
        <v>910</v>
      </c>
      <c r="C135" s="1767" t="s">
        <v>631</v>
      </c>
      <c r="D135" s="2479" t="s">
        <v>383</v>
      </c>
      <c r="E135" s="1765"/>
      <c r="F135" s="1766"/>
      <c r="G135" s="1838">
        <f>G137+G139</f>
        <v>13024.315999999999</v>
      </c>
      <c r="H135" s="1838">
        <f>H137+H139</f>
        <v>13675.5318</v>
      </c>
      <c r="I135" s="2510">
        <f>I137+I139</f>
        <v>14359.30839</v>
      </c>
    </row>
    <row r="136" spans="1:9" ht="15.75" customHeight="1">
      <c r="A136" s="1806" t="s">
        <v>524</v>
      </c>
      <c r="B136" s="2481" t="s">
        <v>691</v>
      </c>
      <c r="C136" s="1774" t="s">
        <v>631</v>
      </c>
      <c r="D136" s="1986" t="s">
        <v>384</v>
      </c>
      <c r="E136" s="1987"/>
      <c r="F136" s="2063"/>
      <c r="G136" s="2482">
        <f aca="true" t="shared" si="8" ref="G136:I137">G137</f>
        <v>10822.586</v>
      </c>
      <c r="H136" s="2482">
        <f t="shared" si="8"/>
        <v>11363.7153</v>
      </c>
      <c r="I136" s="1839">
        <f t="shared" si="8"/>
        <v>11931.901065</v>
      </c>
    </row>
    <row r="137" spans="1:9" ht="48.75" customHeight="1">
      <c r="A137" s="1802" t="s">
        <v>963</v>
      </c>
      <c r="B137" s="2562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37" s="1774" t="s">
        <v>631</v>
      </c>
      <c r="D137" s="2563" t="s">
        <v>384</v>
      </c>
      <c r="E137" s="1987" t="str">
        <f>E138</f>
        <v>795 09 00</v>
      </c>
      <c r="F137" s="2063"/>
      <c r="G137" s="2482">
        <f t="shared" si="8"/>
        <v>10822.586</v>
      </c>
      <c r="H137" s="2482">
        <f t="shared" si="8"/>
        <v>11363.7153</v>
      </c>
      <c r="I137" s="1839">
        <f t="shared" si="8"/>
        <v>11931.901065</v>
      </c>
    </row>
    <row r="138" spans="1:9" ht="16.5" customHeight="1">
      <c r="A138" s="1806" t="s">
        <v>964</v>
      </c>
      <c r="B138" s="1772" t="str">
        <f>'Бюд.р.'!A508</f>
        <v>Закупка товаров, работ и услуг  для государственных (муниципальных) нужд</v>
      </c>
      <c r="C138" s="1665" t="s">
        <v>631</v>
      </c>
      <c r="D138" s="2480" t="s">
        <v>384</v>
      </c>
      <c r="E138" s="1665" t="str">
        <f>'Бюд.р.'!D508</f>
        <v>795 09 00</v>
      </c>
      <c r="F138" s="1759">
        <f>'Бюд.р.'!F508</f>
        <v>200</v>
      </c>
      <c r="G138" s="1837">
        <f>'Бюд.р.'!H508</f>
        <v>10822.586</v>
      </c>
      <c r="H138" s="2582">
        <f>G138*1.05</f>
        <v>11363.7153</v>
      </c>
      <c r="I138" s="2582">
        <f>H138*1.05</f>
        <v>11931.901065</v>
      </c>
    </row>
    <row r="139" spans="1:9" ht="16.5" customHeight="1">
      <c r="A139" s="1808"/>
      <c r="B139" s="1824" t="str">
        <f>'Бюд.р.'!A515</f>
        <v>Другие вопросы в области культуры, кинематографии</v>
      </c>
      <c r="C139" s="1774">
        <v>968</v>
      </c>
      <c r="D139" s="1986" t="s">
        <v>1269</v>
      </c>
      <c r="E139" s="1774"/>
      <c r="F139" s="1830"/>
      <c r="G139" s="2482">
        <f>G140+G142</f>
        <v>2201.73</v>
      </c>
      <c r="H139" s="2482">
        <f>H140+H142</f>
        <v>2311.8165000000004</v>
      </c>
      <c r="I139" s="2482">
        <f>I140+I142</f>
        <v>2427.407325</v>
      </c>
    </row>
    <row r="140" spans="1:9" ht="24.75" customHeight="1" thickBot="1">
      <c r="A140" s="1808"/>
      <c r="B140" s="1824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C140" s="1774">
        <v>968</v>
      </c>
      <c r="D140" s="1986" t="s">
        <v>1269</v>
      </c>
      <c r="E140" s="1774" t="str">
        <f>E141</f>
        <v>795 06 00</v>
      </c>
      <c r="F140" s="1830"/>
      <c r="G140" s="2482">
        <f aca="true" t="shared" si="9" ref="G140:I142">G141</f>
        <v>1969</v>
      </c>
      <c r="H140" s="2482">
        <f t="shared" si="9"/>
        <v>2067.4500000000003</v>
      </c>
      <c r="I140" s="1839">
        <f t="shared" si="9"/>
        <v>2170.8225</v>
      </c>
    </row>
    <row r="141" spans="1:9" ht="13.5" thickBot="1">
      <c r="A141" s="1804" t="s">
        <v>143</v>
      </c>
      <c r="B141" s="1772" t="str">
        <f>'Бюд.р.'!A517</f>
        <v>Закупка товаров, работ и услуг  для государственных (муниципальных) нужд</v>
      </c>
      <c r="C141" s="1665">
        <v>968</v>
      </c>
      <c r="D141" s="2480" t="s">
        <v>1269</v>
      </c>
      <c r="E141" s="1665" t="str">
        <f>'Бюд.р.'!D517</f>
        <v>795 06 00</v>
      </c>
      <c r="F141" s="1759">
        <f>'Бюд.р.'!F517</f>
        <v>200</v>
      </c>
      <c r="G141" s="1837">
        <f>'Бюд.р.'!H517</f>
        <v>1969</v>
      </c>
      <c r="H141" s="2582">
        <f>G141*1.05</f>
        <v>2067.4500000000003</v>
      </c>
      <c r="I141" s="2582">
        <f>H141*1.05</f>
        <v>2170.8225</v>
      </c>
    </row>
    <row r="142" spans="1:9" ht="24">
      <c r="A142" s="2672"/>
      <c r="B142" s="1824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C142" s="1774">
        <v>968</v>
      </c>
      <c r="D142" s="1986" t="s">
        <v>1269</v>
      </c>
      <c r="E142" s="1774" t="str">
        <f>'Бюд.р.'!D522</f>
        <v>795 08 00</v>
      </c>
      <c r="F142" s="1830"/>
      <c r="G142" s="2482">
        <f t="shared" si="9"/>
        <v>232.73000000000002</v>
      </c>
      <c r="H142" s="2482">
        <f t="shared" si="9"/>
        <v>244.36650000000003</v>
      </c>
      <c r="I142" s="1839">
        <f t="shared" si="9"/>
        <v>256.584825</v>
      </c>
    </row>
    <row r="143" spans="1:9" ht="12.75">
      <c r="A143" s="2672"/>
      <c r="B143" s="1772" t="str">
        <f>'Бюд.р.'!A523</f>
        <v>Закупка товаров, работ и услуг  для государственных (муниципальных) нужд</v>
      </c>
      <c r="C143" s="1665">
        <v>968</v>
      </c>
      <c r="D143" s="2480" t="s">
        <v>1269</v>
      </c>
      <c r="E143" s="1665" t="str">
        <f>'Бюд.р.'!D523</f>
        <v>795 08 00</v>
      </c>
      <c r="F143" s="1759">
        <f>'Бюд.р.'!F523</f>
        <v>200</v>
      </c>
      <c r="G143" s="1837">
        <f>'Бюд.р.'!H523</f>
        <v>232.73000000000002</v>
      </c>
      <c r="H143" s="2582">
        <f>G143*1.05</f>
        <v>244.36650000000003</v>
      </c>
      <c r="I143" s="2582">
        <f>H143*1.05</f>
        <v>256.584825</v>
      </c>
    </row>
    <row r="144" spans="1:9" ht="12" customHeight="1">
      <c r="A144" s="1802" t="s">
        <v>37</v>
      </c>
      <c r="B144" s="1821" t="s">
        <v>272</v>
      </c>
      <c r="C144" s="1767" t="s">
        <v>631</v>
      </c>
      <c r="D144" s="1765" t="s">
        <v>323</v>
      </c>
      <c r="E144" s="1765"/>
      <c r="F144" s="1766"/>
      <c r="G144" s="1838">
        <f>G145+G148</f>
        <v>17252.9</v>
      </c>
      <c r="H144" s="2510">
        <f>H145+H148</f>
        <v>18242.11</v>
      </c>
      <c r="I144" s="2510">
        <f>I145+I148</f>
        <v>19396.745499999997</v>
      </c>
    </row>
    <row r="145" spans="1:9" ht="12.75" customHeight="1">
      <c r="A145" s="1801" t="s">
        <v>38</v>
      </c>
      <c r="B145" s="2498" t="s">
        <v>967</v>
      </c>
      <c r="C145" s="1774" t="s">
        <v>631</v>
      </c>
      <c r="D145" s="1987" t="s">
        <v>971</v>
      </c>
      <c r="E145" s="1987"/>
      <c r="F145" s="2063"/>
      <c r="G145" s="2482">
        <f aca="true" t="shared" si="10" ref="G145:I146">G146</f>
        <v>970.2</v>
      </c>
      <c r="H145" s="1839">
        <f t="shared" si="10"/>
        <v>1018.71</v>
      </c>
      <c r="I145" s="1839">
        <f t="shared" si="10"/>
        <v>1069.6455</v>
      </c>
    </row>
    <row r="146" spans="1:9" ht="22.5">
      <c r="A146" s="1809" t="s">
        <v>76</v>
      </c>
      <c r="B146" s="2491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146" s="2487" t="s">
        <v>631</v>
      </c>
      <c r="D146" s="2499" t="s">
        <v>971</v>
      </c>
      <c r="E146" s="2487" t="str">
        <f>E147</f>
        <v>505 01 00</v>
      </c>
      <c r="F146" s="2489"/>
      <c r="G146" s="1834">
        <f>G147</f>
        <v>970.2</v>
      </c>
      <c r="H146" s="1834">
        <f t="shared" si="10"/>
        <v>1018.71</v>
      </c>
      <c r="I146" s="2509">
        <f t="shared" si="10"/>
        <v>1069.6455</v>
      </c>
    </row>
    <row r="147" spans="1:9" ht="18" customHeight="1">
      <c r="A147" s="1802" t="s">
        <v>77</v>
      </c>
      <c r="B147" s="1823" t="str">
        <f>'Бюд.р.'!A530</f>
        <v>Социальное обеспечение и иные выплаты населению</v>
      </c>
      <c r="C147" s="1815" t="s">
        <v>631</v>
      </c>
      <c r="D147" s="1769" t="s">
        <v>971</v>
      </c>
      <c r="E147" s="1770" t="str">
        <f>'Бюд.р.'!D530</f>
        <v>505 01 00</v>
      </c>
      <c r="F147" s="1771">
        <f>'Бюд.р.'!F530</f>
        <v>300</v>
      </c>
      <c r="G147" s="1837">
        <f>'Бюд.р.'!H530</f>
        <v>970.2</v>
      </c>
      <c r="H147" s="2582">
        <f>G147*1.05</f>
        <v>1018.71</v>
      </c>
      <c r="I147" s="2582">
        <f>H147*1.05</f>
        <v>1069.6455</v>
      </c>
    </row>
    <row r="148" spans="1:9" ht="16.5" customHeight="1">
      <c r="A148" s="1802" t="s">
        <v>1096</v>
      </c>
      <c r="B148" s="2498" t="s">
        <v>698</v>
      </c>
      <c r="C148" s="1774" t="s">
        <v>631</v>
      </c>
      <c r="D148" s="1987" t="s">
        <v>802</v>
      </c>
      <c r="E148" s="1987"/>
      <c r="F148" s="2063"/>
      <c r="G148" s="2482">
        <f>G149+G152+G154</f>
        <v>16282.7</v>
      </c>
      <c r="H148" s="2482">
        <f>H149+H152+H154</f>
        <v>17223.4</v>
      </c>
      <c r="I148" s="1839">
        <f>I149+I152+I154</f>
        <v>18327.1</v>
      </c>
    </row>
    <row r="149" spans="1:9" ht="41.25" customHeight="1">
      <c r="A149" s="1802" t="s">
        <v>1098</v>
      </c>
      <c r="B149" s="1822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49" s="1767" t="s">
        <v>631</v>
      </c>
      <c r="D149" s="1765" t="s">
        <v>802</v>
      </c>
      <c r="E149" s="1767" t="str">
        <f>E150</f>
        <v>002  80 31</v>
      </c>
      <c r="F149" s="1768"/>
      <c r="G149" s="1838">
        <f>SUM(G150:G151)</f>
        <v>4515.1</v>
      </c>
      <c r="H149" s="1838">
        <f>SUM(H150:H151)</f>
        <v>4790.200000000001</v>
      </c>
      <c r="I149" s="2510">
        <f>SUM(I150:I151)</f>
        <v>5173.8</v>
      </c>
    </row>
    <row r="150" spans="1:9" ht="41.25" customHeight="1">
      <c r="A150" s="2500"/>
      <c r="B150" s="1772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0" s="1665">
        <v>968</v>
      </c>
      <c r="D150" s="1779">
        <v>1004</v>
      </c>
      <c r="E150" s="1665" t="str">
        <f>'Бюд.р.'!D536</f>
        <v>002  80 31</v>
      </c>
      <c r="F150" s="1759">
        <f>'Бюд.р.'!F536</f>
        <v>100</v>
      </c>
      <c r="G150" s="1833">
        <f>'Бюд.р.'!H536</f>
        <v>4209.1</v>
      </c>
      <c r="H150" s="2578">
        <v>4465.6</v>
      </c>
      <c r="I150" s="2578">
        <v>4823.2</v>
      </c>
    </row>
    <row r="151" spans="1:9" ht="16.5" customHeight="1" thickBot="1">
      <c r="A151" s="2500"/>
      <c r="B151" s="1772" t="str">
        <f>'Бюд.р.'!A542</f>
        <v>Закупка товаров, работ и услуг  для государственных (муниципальных) нужд</v>
      </c>
      <c r="C151" s="1665">
        <v>968</v>
      </c>
      <c r="D151" s="1779">
        <v>1004</v>
      </c>
      <c r="E151" s="1665" t="str">
        <f>E150</f>
        <v>002  80 31</v>
      </c>
      <c r="F151" s="1759">
        <f>'Бюд.р.'!F542</f>
        <v>200</v>
      </c>
      <c r="G151" s="1833">
        <f>'Бюд.р.'!H542</f>
        <v>305.99999999999994</v>
      </c>
      <c r="H151" s="2578">
        <v>324.6</v>
      </c>
      <c r="I151" s="2578">
        <v>350.6</v>
      </c>
    </row>
    <row r="152" spans="1:9" ht="40.5" customHeight="1" thickBot="1">
      <c r="A152" s="1810" t="s">
        <v>901</v>
      </c>
      <c r="B152" s="1821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52" s="1767" t="s">
        <v>631</v>
      </c>
      <c r="D152" s="1765" t="s">
        <v>802</v>
      </c>
      <c r="E152" s="1765" t="str">
        <f>E153</f>
        <v>511 80 32</v>
      </c>
      <c r="F152" s="1766"/>
      <c r="G152" s="1838">
        <f>G153</f>
        <v>9259.8</v>
      </c>
      <c r="H152" s="1838">
        <f>H153</f>
        <v>9787.4</v>
      </c>
      <c r="I152" s="2510">
        <f>I153</f>
        <v>10277</v>
      </c>
    </row>
    <row r="153" spans="1:9" ht="13.5" thickBot="1">
      <c r="A153" s="2501"/>
      <c r="B153" s="1818" t="str">
        <f>'Бюд.р.'!A557</f>
        <v>Социальное обеспечение и иные выплаты населению</v>
      </c>
      <c r="C153" s="1665">
        <v>968</v>
      </c>
      <c r="D153" s="1779">
        <v>1004</v>
      </c>
      <c r="E153" s="1779" t="str">
        <f>'Бюд.р.'!D557</f>
        <v>511 80 32</v>
      </c>
      <c r="F153" s="1780">
        <f>'Бюд.р.'!F557</f>
        <v>300</v>
      </c>
      <c r="G153" s="1833">
        <f>'Бюд.р.'!H557</f>
        <v>9259.8</v>
      </c>
      <c r="H153" s="2578">
        <v>9787.4</v>
      </c>
      <c r="I153" s="2578">
        <v>10277</v>
      </c>
    </row>
    <row r="154" spans="1:9" ht="36">
      <c r="A154" s="1811" t="s">
        <v>974</v>
      </c>
      <c r="B154" s="1821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54" s="1767" t="s">
        <v>631</v>
      </c>
      <c r="D154" s="1765" t="s">
        <v>802</v>
      </c>
      <c r="E154" s="1765" t="str">
        <f>E155</f>
        <v>511 80 33</v>
      </c>
      <c r="F154" s="1766"/>
      <c r="G154" s="1838">
        <f>G155</f>
        <v>2507.8</v>
      </c>
      <c r="H154" s="1838">
        <f>H155</f>
        <v>2645.8</v>
      </c>
      <c r="I154" s="2510">
        <f>I155</f>
        <v>2876.3</v>
      </c>
    </row>
    <row r="155" spans="1:9" ht="14.25" customHeight="1">
      <c r="A155" s="1813"/>
      <c r="B155" s="1818" t="str">
        <f>'Бюд.р.'!A562</f>
        <v>Социальное обеспечение и иные выплаты населению</v>
      </c>
      <c r="C155" s="1665">
        <v>968</v>
      </c>
      <c r="D155" s="1779">
        <v>1004</v>
      </c>
      <c r="E155" s="1779" t="str">
        <f>'Бюд.р.'!D562</f>
        <v>511 80 33</v>
      </c>
      <c r="F155" s="1780">
        <f>'Бюд.р.'!F562</f>
        <v>300</v>
      </c>
      <c r="G155" s="1833">
        <f>'Бюд.р.'!H562</f>
        <v>2507.8</v>
      </c>
      <c r="H155" s="2578">
        <v>2645.8</v>
      </c>
      <c r="I155" s="2578">
        <v>2876.3</v>
      </c>
    </row>
    <row r="156" spans="1:9" ht="12.75">
      <c r="A156" s="1802" t="s">
        <v>975</v>
      </c>
      <c r="B156" s="1824" t="s">
        <v>891</v>
      </c>
      <c r="C156" s="1774">
        <v>968</v>
      </c>
      <c r="D156" s="1774">
        <v>1100</v>
      </c>
      <c r="E156" s="1774"/>
      <c r="F156" s="1830"/>
      <c r="G156" s="1838">
        <f aca="true" t="shared" si="11" ref="G156:I158">G157</f>
        <v>3865.685</v>
      </c>
      <c r="H156" s="2510">
        <f t="shared" si="11"/>
        <v>4058.96925</v>
      </c>
      <c r="I156" s="2510">
        <f t="shared" si="11"/>
        <v>4261.917712500001</v>
      </c>
    </row>
    <row r="157" spans="1:9" ht="12.75">
      <c r="A157" s="1801" t="s">
        <v>976</v>
      </c>
      <c r="B157" s="1824" t="s">
        <v>892</v>
      </c>
      <c r="C157" s="1774">
        <v>968</v>
      </c>
      <c r="D157" s="1774">
        <v>1102</v>
      </c>
      <c r="E157" s="1774"/>
      <c r="F157" s="1830"/>
      <c r="G157" s="2482">
        <f t="shared" si="11"/>
        <v>3865.685</v>
      </c>
      <c r="H157" s="1839">
        <f t="shared" si="11"/>
        <v>4058.96925</v>
      </c>
      <c r="I157" s="1839">
        <f t="shared" si="11"/>
        <v>4261.917712500001</v>
      </c>
    </row>
    <row r="158" spans="1:9" ht="52.5" customHeight="1">
      <c r="A158" s="1801" t="s">
        <v>201</v>
      </c>
      <c r="B158" s="1822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58" s="1767">
        <v>968</v>
      </c>
      <c r="D158" s="1767">
        <v>1102</v>
      </c>
      <c r="E158" s="1767" t="str">
        <f>E159</f>
        <v>795 10 00</v>
      </c>
      <c r="F158" s="1768"/>
      <c r="G158" s="1838">
        <f>G159</f>
        <v>3865.685</v>
      </c>
      <c r="H158" s="1838">
        <f t="shared" si="11"/>
        <v>4058.96925</v>
      </c>
      <c r="I158" s="2510">
        <f t="shared" si="11"/>
        <v>4261.917712500001</v>
      </c>
    </row>
    <row r="159" spans="1:9" ht="13.5" customHeight="1" thickBot="1">
      <c r="A159" s="1812" t="s">
        <v>202</v>
      </c>
      <c r="B159" s="1772" t="str">
        <f>'Бюд.р.'!A577</f>
        <v>Закупка товаров, работ и услуг  для государственных (муниципальных) нужд</v>
      </c>
      <c r="C159" s="1665">
        <v>968</v>
      </c>
      <c r="D159" s="1665">
        <v>1102</v>
      </c>
      <c r="E159" s="1665" t="str">
        <f>'Бюд.р.'!D577</f>
        <v>795 10 00</v>
      </c>
      <c r="F159" s="1759">
        <f>'Бюд.р.'!F577</f>
        <v>200</v>
      </c>
      <c r="G159" s="1837">
        <f>'Бюд.р.'!H577</f>
        <v>3865.685</v>
      </c>
      <c r="H159" s="2550">
        <f>G159*1.05</f>
        <v>4058.96925</v>
      </c>
      <c r="I159" s="2550">
        <f>H159*1.05</f>
        <v>4261.917712500001</v>
      </c>
    </row>
    <row r="160" spans="1:9" ht="12.75">
      <c r="A160" s="1758" t="s">
        <v>1057</v>
      </c>
      <c r="B160" s="1824" t="s">
        <v>893</v>
      </c>
      <c r="C160" s="1774">
        <v>968</v>
      </c>
      <c r="D160" s="1774">
        <v>1200</v>
      </c>
      <c r="E160" s="1774"/>
      <c r="F160" s="1830"/>
      <c r="G160" s="1838">
        <f aca="true" t="shared" si="12" ref="G160:I162">G161</f>
        <v>1800</v>
      </c>
      <c r="H160" s="2510">
        <f t="shared" si="12"/>
        <v>1890</v>
      </c>
      <c r="I160" s="2510">
        <f t="shared" si="12"/>
        <v>1984.5</v>
      </c>
    </row>
    <row r="161" spans="1:9" ht="15" customHeight="1" thickBot="1">
      <c r="A161" s="1808" t="s">
        <v>1058</v>
      </c>
      <c r="B161" s="2502" t="s">
        <v>692</v>
      </c>
      <c r="C161" s="2503">
        <v>968</v>
      </c>
      <c r="D161" s="2503">
        <v>1202</v>
      </c>
      <c r="E161" s="2503"/>
      <c r="F161" s="2504"/>
      <c r="G161" s="2505">
        <f t="shared" si="12"/>
        <v>1800</v>
      </c>
      <c r="H161" s="2584">
        <f t="shared" si="12"/>
        <v>1890</v>
      </c>
      <c r="I161" s="2584">
        <f t="shared" si="12"/>
        <v>1984.5</v>
      </c>
    </row>
    <row r="162" spans="1:9" ht="13.5" thickBot="1">
      <c r="A162" s="1293"/>
      <c r="B162" s="1751" t="s">
        <v>1032</v>
      </c>
      <c r="C162" s="1752">
        <v>968</v>
      </c>
      <c r="D162" s="1753">
        <v>1202</v>
      </c>
      <c r="E162" s="1753" t="str">
        <f>E163</f>
        <v>457 03 00</v>
      </c>
      <c r="F162" s="1814"/>
      <c r="G162" s="2506">
        <f>G163</f>
        <v>1800</v>
      </c>
      <c r="H162" s="2506">
        <f t="shared" si="12"/>
        <v>1890</v>
      </c>
      <c r="I162" s="2511">
        <f t="shared" si="12"/>
        <v>1984.5</v>
      </c>
    </row>
    <row r="163" spans="1:9" ht="18" customHeight="1" thickBot="1">
      <c r="A163" s="1425"/>
      <c r="B163" s="1754" t="str">
        <f>'Бюд.р.'!A591</f>
        <v>Закупка товаров, работ и услуг  для государственных (муниципальных) нужд</v>
      </c>
      <c r="C163" s="1755">
        <v>968</v>
      </c>
      <c r="D163" s="1756">
        <v>1202</v>
      </c>
      <c r="E163" s="1756" t="str">
        <f>'Бюд.р.'!D591</f>
        <v>457 03 00</v>
      </c>
      <c r="F163" s="1757">
        <f>'Бюд.р.'!F591</f>
        <v>200</v>
      </c>
      <c r="G163" s="2507">
        <f>'Бюд.р.'!H591</f>
        <v>1800</v>
      </c>
      <c r="H163" s="2585">
        <f>G163*1.05</f>
        <v>1890</v>
      </c>
      <c r="I163" s="2586">
        <f>H163*1.05</f>
        <v>1984.5</v>
      </c>
    </row>
    <row r="164" spans="2:9" ht="24.75" customHeight="1" thickBot="1">
      <c r="B164" s="3041" t="s">
        <v>1109</v>
      </c>
      <c r="C164" s="3042"/>
      <c r="D164" s="3042"/>
      <c r="E164" s="3042"/>
      <c r="F164" s="3043"/>
      <c r="G164" s="1782" t="e">
        <f>G11-G20</f>
        <v>#REF!</v>
      </c>
      <c r="H164" s="2587" t="e">
        <f>H11-H20</f>
        <v>#REF!</v>
      </c>
      <c r="I164" s="2588" t="e">
        <f>I11-I20</f>
        <v>#REF!</v>
      </c>
    </row>
    <row r="165" spans="2:9" ht="20.25" customHeight="1">
      <c r="B165" s="3075" t="s">
        <v>1120</v>
      </c>
      <c r="C165" s="3076"/>
      <c r="D165" s="3076"/>
      <c r="E165" s="3076"/>
      <c r="F165" s="3077"/>
      <c r="G165" s="1783" t="e">
        <f>G164/(G12+G13)</f>
        <v>#REF!</v>
      </c>
      <c r="H165" s="2589" t="e">
        <f>H164/(H12+H13)</f>
        <v>#REF!</v>
      </c>
      <c r="I165" s="2590" t="e">
        <f>I164/(I12+I13)</f>
        <v>#REF!</v>
      </c>
    </row>
    <row r="166" spans="2:9" ht="15.75">
      <c r="B166" s="3072" t="s">
        <v>1118</v>
      </c>
      <c r="C166" s="3073"/>
      <c r="D166" s="3073"/>
      <c r="E166" s="3073"/>
      <c r="F166" s="3074"/>
      <c r="G166" s="1784">
        <v>0</v>
      </c>
      <c r="H166" s="2575">
        <v>0</v>
      </c>
      <c r="I166" s="2591">
        <v>0</v>
      </c>
    </row>
    <row r="167" spans="2:9" ht="15.75">
      <c r="B167" s="3072" t="s">
        <v>1110</v>
      </c>
      <c r="C167" s="3073"/>
      <c r="D167" s="3073"/>
      <c r="E167" s="3073"/>
      <c r="F167" s="3074"/>
      <c r="G167" s="1785" t="s">
        <v>1115</v>
      </c>
      <c r="H167" s="1785" t="s">
        <v>1139</v>
      </c>
      <c r="I167" s="2564" t="s">
        <v>1332</v>
      </c>
    </row>
    <row r="168" spans="2:9" ht="15.75" customHeight="1">
      <c r="B168" s="3065" t="str">
        <f>Доходы!D9</f>
        <v>Налог, взимаемый в связи с применением упрощенной системы налогообложения</v>
      </c>
      <c r="C168" s="3066"/>
      <c r="D168" s="3066"/>
      <c r="E168" s="3066"/>
      <c r="F168" s="3067"/>
      <c r="G168" s="1784">
        <v>10</v>
      </c>
      <c r="H168" s="1786">
        <v>10</v>
      </c>
      <c r="I168" s="2565">
        <v>10</v>
      </c>
    </row>
    <row r="169" spans="2:9" ht="15.75">
      <c r="B169" s="3065" t="str">
        <f>Доходы!D18</f>
        <v>Единый налог на вмененный доход для отдельных видов деятельности</v>
      </c>
      <c r="C169" s="3066"/>
      <c r="D169" s="3066"/>
      <c r="E169" s="3066"/>
      <c r="F169" s="3067"/>
      <c r="G169" s="1784">
        <v>45</v>
      </c>
      <c r="H169" s="1786">
        <v>45</v>
      </c>
      <c r="I169" s="2565">
        <v>45</v>
      </c>
    </row>
    <row r="170" spans="2:9" ht="17.25" customHeight="1">
      <c r="B170" s="3078" t="s">
        <v>1140</v>
      </c>
      <c r="C170" s="3079"/>
      <c r="D170" s="3079"/>
      <c r="E170" s="3079"/>
      <c r="F170" s="3080"/>
      <c r="G170" s="1784">
        <v>45</v>
      </c>
      <c r="H170" s="1786">
        <v>45</v>
      </c>
      <c r="I170" s="2565">
        <v>45</v>
      </c>
    </row>
    <row r="171" spans="2:9" ht="15.75">
      <c r="B171" s="3065" t="str">
        <f>Доходы!D24</f>
        <v>Налог на имущество физических лиц</v>
      </c>
      <c r="C171" s="3066"/>
      <c r="D171" s="3066"/>
      <c r="E171" s="3066"/>
      <c r="F171" s="3067"/>
      <c r="G171" s="1784">
        <v>100</v>
      </c>
      <c r="H171" s="1786">
        <v>100</v>
      </c>
      <c r="I171" s="2565">
        <v>100</v>
      </c>
    </row>
    <row r="172" spans="2:9" ht="16.5" thickBot="1">
      <c r="B172" s="3069" t="s">
        <v>1117</v>
      </c>
      <c r="C172" s="3070"/>
      <c r="D172" s="3070"/>
      <c r="E172" s="3070"/>
      <c r="F172" s="3071"/>
      <c r="G172" s="2566">
        <v>100</v>
      </c>
      <c r="H172" s="2567">
        <v>100</v>
      </c>
      <c r="I172" s="2568">
        <v>100</v>
      </c>
    </row>
    <row r="173" ht="21" customHeight="1">
      <c r="B173" s="884" t="s">
        <v>186</v>
      </c>
    </row>
    <row r="175" spans="2:9" ht="15.75">
      <c r="B175" s="3068" t="s">
        <v>1260</v>
      </c>
      <c r="C175" s="3068"/>
      <c r="D175" s="3068"/>
      <c r="E175" s="3068"/>
      <c r="F175" s="3068"/>
      <c r="G175" s="3068"/>
      <c r="H175" s="3068"/>
      <c r="I175" s="3068"/>
    </row>
  </sheetData>
  <sheetProtection/>
  <mergeCells count="30">
    <mergeCell ref="B12:F12"/>
    <mergeCell ref="B171:F171"/>
    <mergeCell ref="B175:I175"/>
    <mergeCell ref="B172:F172"/>
    <mergeCell ref="B167:F167"/>
    <mergeCell ref="B165:F165"/>
    <mergeCell ref="B166:F166"/>
    <mergeCell ref="B168:F168"/>
    <mergeCell ref="B169:F169"/>
    <mergeCell ref="B170:F170"/>
    <mergeCell ref="B13:F13"/>
    <mergeCell ref="B16:F16"/>
    <mergeCell ref="B1:I1"/>
    <mergeCell ref="B2:I2"/>
    <mergeCell ref="B3:I3"/>
    <mergeCell ref="B4:I4"/>
    <mergeCell ref="B14:F14"/>
    <mergeCell ref="A6:I6"/>
    <mergeCell ref="A7:I7"/>
    <mergeCell ref="A8:I8"/>
    <mergeCell ref="B5:I5"/>
    <mergeCell ref="H9:I9"/>
    <mergeCell ref="B9:F10"/>
    <mergeCell ref="B164:F164"/>
    <mergeCell ref="B11:F11"/>
    <mergeCell ref="B17:F17"/>
    <mergeCell ref="B15:F15"/>
    <mergeCell ref="B18:F18"/>
    <mergeCell ref="B19:F19"/>
    <mergeCell ref="B20:F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910"/>
      <c r="B1" s="3034" t="s">
        <v>978</v>
      </c>
      <c r="C1" s="3034"/>
      <c r="D1" s="3034"/>
      <c r="E1" s="3034"/>
      <c r="F1" s="3034"/>
      <c r="G1" s="3034"/>
      <c r="H1" s="3034"/>
      <c r="I1" s="3034"/>
      <c r="J1" s="3034"/>
      <c r="K1" s="3034"/>
    </row>
    <row r="2" spans="1:11" ht="15" hidden="1">
      <c r="A2" s="910"/>
      <c r="B2" s="3034" t="s">
        <v>1103</v>
      </c>
      <c r="C2" s="3034"/>
      <c r="D2" s="3034"/>
      <c r="E2" s="3034"/>
      <c r="F2" s="3034"/>
      <c r="G2" s="3034"/>
      <c r="H2" s="3034"/>
      <c r="I2" s="3034"/>
      <c r="J2" s="3034"/>
      <c r="K2" s="3034"/>
    </row>
    <row r="3" spans="1:11" ht="15" hidden="1">
      <c r="A3" s="910"/>
      <c r="B3" s="3034" t="s">
        <v>1104</v>
      </c>
      <c r="C3" s="3034"/>
      <c r="D3" s="3034"/>
      <c r="E3" s="3034"/>
      <c r="F3" s="3034"/>
      <c r="G3" s="3034"/>
      <c r="H3" s="3034"/>
      <c r="I3" s="3034"/>
      <c r="J3" s="3034"/>
      <c r="K3" s="3034"/>
    </row>
    <row r="4" spans="1:11" ht="15" hidden="1">
      <c r="A4" s="910"/>
      <c r="B4" s="3034" t="s">
        <v>1122</v>
      </c>
      <c r="C4" s="3034"/>
      <c r="D4" s="3034"/>
      <c r="E4" s="3034"/>
      <c r="F4" s="3034"/>
      <c r="G4" s="3034"/>
      <c r="H4" s="3034"/>
      <c r="I4" s="3034"/>
      <c r="J4" s="3034"/>
      <c r="K4" s="3034"/>
    </row>
    <row r="5" spans="1:11" ht="15.75">
      <c r="A5" s="3060" t="s">
        <v>1123</v>
      </c>
      <c r="B5" s="3060"/>
      <c r="C5" s="3060"/>
      <c r="D5" s="3060"/>
      <c r="E5" s="3060"/>
      <c r="F5" s="3060"/>
      <c r="G5" s="3060"/>
      <c r="H5" s="3060"/>
      <c r="I5" s="3060"/>
      <c r="J5" s="1426"/>
      <c r="K5" s="1426"/>
    </row>
    <row r="6" spans="1:11" ht="15.75">
      <c r="A6" s="3060" t="s">
        <v>1106</v>
      </c>
      <c r="B6" s="3060"/>
      <c r="C6" s="3060"/>
      <c r="D6" s="3060"/>
      <c r="E6" s="3060"/>
      <c r="F6" s="3060"/>
      <c r="G6" s="3060"/>
      <c r="H6" s="3060"/>
      <c r="I6" s="3060"/>
      <c r="J6" s="1426"/>
      <c r="K6" s="1426"/>
    </row>
    <row r="7" spans="1:11" ht="19.5" thickBot="1">
      <c r="A7" s="3061" t="s">
        <v>1107</v>
      </c>
      <c r="B7" s="3061"/>
      <c r="C7" s="3061"/>
      <c r="D7" s="3061"/>
      <c r="E7" s="3061"/>
      <c r="F7" s="3061"/>
      <c r="G7" s="3061"/>
      <c r="H7" s="3061"/>
      <c r="I7" s="3061"/>
      <c r="J7" s="1426"/>
      <c r="K7" s="1426"/>
    </row>
    <row r="8" spans="1:11" ht="19.5" hidden="1" thickBot="1">
      <c r="A8" s="1427"/>
      <c r="B8" s="3081" t="s">
        <v>1121</v>
      </c>
      <c r="C8" s="3082"/>
      <c r="D8" s="3082"/>
      <c r="E8" s="3082"/>
      <c r="F8" s="3082"/>
      <c r="G8" s="1545"/>
      <c r="H8" s="1545"/>
      <c r="I8" s="1438" t="s">
        <v>1113</v>
      </c>
      <c r="J8" s="1439" t="s">
        <v>1114</v>
      </c>
      <c r="K8" s="1440" t="s">
        <v>1115</v>
      </c>
    </row>
    <row r="9" spans="1:11" ht="16.5" hidden="1" thickBot="1">
      <c r="A9" s="1434"/>
      <c r="B9" s="3083" t="s">
        <v>1108</v>
      </c>
      <c r="C9" s="3084"/>
      <c r="D9" s="3084"/>
      <c r="E9" s="3084"/>
      <c r="F9" s="3084"/>
      <c r="G9" s="1544"/>
      <c r="H9" s="1544"/>
      <c r="I9" s="1442">
        <f>SUM(I10:I12)</f>
        <v>117659</v>
      </c>
      <c r="J9" s="1480">
        <f>SUM(J10:J12)</f>
        <v>121594.38500000001</v>
      </c>
      <c r="K9" s="1481">
        <f>SUM(K10:K12)</f>
        <v>127854.57925000002</v>
      </c>
    </row>
    <row r="10" spans="1:11" ht="18.75" hidden="1">
      <c r="A10" s="1435"/>
      <c r="B10" s="3085" t="s">
        <v>822</v>
      </c>
      <c r="C10" s="3086"/>
      <c r="D10" s="3086"/>
      <c r="E10" s="3086"/>
      <c r="F10" s="3087"/>
      <c r="G10" s="1546"/>
      <c r="H10" s="1546"/>
      <c r="I10" s="1441">
        <f>Доходы!E7</f>
        <v>99084.9</v>
      </c>
      <c r="J10" s="1482">
        <f>I10*1.05+556.6</f>
        <v>104595.74500000001</v>
      </c>
      <c r="K10" s="1483">
        <f>J10*1.05</f>
        <v>109825.53225000002</v>
      </c>
    </row>
    <row r="11" spans="1:11" ht="18.75" hidden="1">
      <c r="A11" s="1435"/>
      <c r="B11" s="3088" t="s">
        <v>823</v>
      </c>
      <c r="C11" s="3089"/>
      <c r="D11" s="3089"/>
      <c r="E11" s="3089"/>
      <c r="F11" s="3090"/>
      <c r="G11" s="1547"/>
      <c r="H11" s="1547"/>
      <c r="I11" s="1436">
        <f>Доходы!E29</f>
        <v>2626.8</v>
      </c>
      <c r="J11" s="1484">
        <f>I11*1.05</f>
        <v>2758.1400000000003</v>
      </c>
      <c r="K11" s="1485">
        <f>J11*1.05</f>
        <v>2896.0470000000005</v>
      </c>
    </row>
    <row r="12" spans="1:11" ht="18.75" hidden="1">
      <c r="A12" s="1435"/>
      <c r="B12" s="3088" t="s">
        <v>1111</v>
      </c>
      <c r="C12" s="3089"/>
      <c r="D12" s="3089"/>
      <c r="E12" s="3089"/>
      <c r="F12" s="3090"/>
      <c r="G12" s="1547"/>
      <c r="H12" s="1547"/>
      <c r="I12" s="1436">
        <f>SUM(I13:I17)</f>
        <v>15947.3</v>
      </c>
      <c r="J12" s="1486">
        <f>SUM(J13:J17)</f>
        <v>14240.5</v>
      </c>
      <c r="K12" s="1487">
        <f>SUM(K13:K17)</f>
        <v>15133</v>
      </c>
    </row>
    <row r="13" spans="1:11" ht="18.75" hidden="1">
      <c r="A13" s="1435"/>
      <c r="B13" s="3091" t="s">
        <v>423</v>
      </c>
      <c r="C13" s="3092"/>
      <c r="D13" s="3092"/>
      <c r="E13" s="3092"/>
      <c r="F13" s="3093"/>
      <c r="G13" s="1548"/>
      <c r="H13" s="1548"/>
      <c r="I13" s="1437">
        <v>0</v>
      </c>
      <c r="J13" s="1488">
        <v>0</v>
      </c>
      <c r="K13" s="1489">
        <v>0</v>
      </c>
    </row>
    <row r="14" spans="1:11" ht="18.75" hidden="1">
      <c r="A14" s="1435"/>
      <c r="B14" s="3091" t="str">
        <f>Доходы!D76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092"/>
      <c r="D14" s="3092"/>
      <c r="E14" s="3092"/>
      <c r="F14" s="3093"/>
      <c r="G14" s="1548"/>
      <c r="H14" s="1548"/>
      <c r="I14" s="1437">
        <f>Доходы!E76</f>
        <v>3724</v>
      </c>
      <c r="J14" s="1488">
        <v>3628.3</v>
      </c>
      <c r="K14" s="1489">
        <v>3863.9</v>
      </c>
    </row>
    <row r="15" spans="1:11" ht="18.75" hidden="1">
      <c r="A15" s="1435"/>
      <c r="B15" s="3091" t="str">
        <f>Доходы!D77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092"/>
      <c r="D15" s="3092"/>
      <c r="E15" s="3092"/>
      <c r="F15" s="3093"/>
      <c r="G15" s="1548"/>
      <c r="H15" s="1548"/>
      <c r="I15" s="1437">
        <f>Доходы!E77</f>
        <v>5.6</v>
      </c>
      <c r="J15" s="1488">
        <v>5.3</v>
      </c>
      <c r="K15" s="1489">
        <v>5.6</v>
      </c>
    </row>
    <row r="16" spans="1:11" ht="18.75" hidden="1">
      <c r="A16" s="1435"/>
      <c r="B16" s="3022" t="str">
        <f>Доходы!D80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025"/>
      <c r="D16" s="3025"/>
      <c r="E16" s="3025"/>
      <c r="F16" s="3094"/>
      <c r="G16" s="1549"/>
      <c r="H16" s="1549"/>
      <c r="I16" s="1437">
        <f>Доходы!E80</f>
        <v>9259.8</v>
      </c>
      <c r="J16" s="1488">
        <v>8312.4</v>
      </c>
      <c r="K16" s="1489">
        <v>8820</v>
      </c>
    </row>
    <row r="17" spans="1:11" ht="19.5" hidden="1" thickBot="1">
      <c r="A17" s="1435"/>
      <c r="B17" s="3095" t="str">
        <f>Доходы!D81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096"/>
      <c r="D17" s="3096"/>
      <c r="E17" s="3096"/>
      <c r="F17" s="3097"/>
      <c r="G17" s="1550"/>
      <c r="H17" s="1550"/>
      <c r="I17" s="1443">
        <f>Доходы!E81</f>
        <v>2957.9</v>
      </c>
      <c r="J17" s="1490">
        <v>2294.5</v>
      </c>
      <c r="K17" s="1491">
        <v>2443.5</v>
      </c>
    </row>
    <row r="18" spans="1:11" ht="16.5" thickBot="1">
      <c r="A18" s="1434"/>
      <c r="B18" s="3098" t="s">
        <v>1112</v>
      </c>
      <c r="C18" s="3099"/>
      <c r="D18" s="3099"/>
      <c r="E18" s="3099"/>
      <c r="F18" s="3099"/>
      <c r="G18" s="3106" t="s">
        <v>1124</v>
      </c>
      <c r="H18" s="3107"/>
      <c r="I18" s="1428" t="s">
        <v>1113</v>
      </c>
      <c r="J18" s="1492" t="s">
        <v>1114</v>
      </c>
      <c r="K18" s="1493" t="s">
        <v>1116</v>
      </c>
    </row>
    <row r="19" spans="1:11" ht="57" thickBot="1">
      <c r="A19" s="1408" t="s">
        <v>828</v>
      </c>
      <c r="B19" s="1450" t="s">
        <v>254</v>
      </c>
      <c r="C19" s="1345" t="s">
        <v>443</v>
      </c>
      <c r="D19" s="1409" t="s">
        <v>267</v>
      </c>
      <c r="E19" s="1409" t="s">
        <v>265</v>
      </c>
      <c r="F19" s="1558" t="s">
        <v>110</v>
      </c>
      <c r="G19" s="1625" t="s">
        <v>89</v>
      </c>
      <c r="H19" s="1625" t="s">
        <v>1125</v>
      </c>
      <c r="I19" s="1601" t="s">
        <v>1113</v>
      </c>
      <c r="J19" s="1492" t="s">
        <v>1114</v>
      </c>
      <c r="K19" s="1493" t="s">
        <v>1116</v>
      </c>
    </row>
    <row r="20" spans="1:11" ht="13.5" thickBot="1">
      <c r="A20" s="306" t="s">
        <v>727</v>
      </c>
      <c r="B20" s="1451">
        <v>2</v>
      </c>
      <c r="C20" s="1347" t="s">
        <v>471</v>
      </c>
      <c r="D20" s="195" t="s">
        <v>680</v>
      </c>
      <c r="E20" s="195" t="s">
        <v>326</v>
      </c>
      <c r="F20" s="1559" t="s">
        <v>327</v>
      </c>
      <c r="G20" s="1626"/>
      <c r="H20" s="1626"/>
      <c r="I20" s="1602">
        <v>7</v>
      </c>
      <c r="J20" s="1494">
        <v>8</v>
      </c>
      <c r="K20" s="1495">
        <v>9</v>
      </c>
    </row>
    <row r="21" spans="1:11" ht="13.5" thickBot="1">
      <c r="A21" s="1422"/>
      <c r="B21" s="1452" t="str">
        <f>'Бюд.р.'!A57</f>
        <v>МУНИЦИПАЛЬНЫЙ СОВЕТ МО МО ОЗЕРО ДОЛГОЕ</v>
      </c>
      <c r="C21" s="1423">
        <v>925</v>
      </c>
      <c r="D21" s="1424"/>
      <c r="E21" s="1424"/>
      <c r="F21" s="1560"/>
      <c r="G21" s="1627"/>
      <c r="H21" s="1627"/>
      <c r="I21" s="1603">
        <f>I22</f>
        <v>4374.8009999999995</v>
      </c>
      <c r="J21" s="1496">
        <f>J22</f>
        <v>4593.54105</v>
      </c>
      <c r="K21" s="1497">
        <f>K22</f>
        <v>4823.218102500001</v>
      </c>
    </row>
    <row r="22" spans="1:11" ht="23.25" thickBot="1">
      <c r="A22" s="1379" t="s">
        <v>673</v>
      </c>
      <c r="B22" s="1453" t="s">
        <v>111</v>
      </c>
      <c r="C22" s="1380" t="s">
        <v>93</v>
      </c>
      <c r="D22" s="1381" t="s">
        <v>456</v>
      </c>
      <c r="E22" s="1381"/>
      <c r="F22" s="1561"/>
      <c r="G22" s="1628"/>
      <c r="H22" s="1628"/>
      <c r="I22" s="1604">
        <f>I26+I23</f>
        <v>4374.8009999999995</v>
      </c>
      <c r="J22" s="1498">
        <f>J26+J23</f>
        <v>4593.54105</v>
      </c>
      <c r="K22" s="1499">
        <f>K26+K23</f>
        <v>4823.218102500001</v>
      </c>
    </row>
    <row r="23" spans="1:11" ht="45">
      <c r="A23" s="1382" t="s">
        <v>727</v>
      </c>
      <c r="B23" s="1454" t="s">
        <v>141</v>
      </c>
      <c r="C23" s="1383" t="s">
        <v>93</v>
      </c>
      <c r="D23" s="1384" t="s">
        <v>455</v>
      </c>
      <c r="E23" s="1384"/>
      <c r="F23" s="1562"/>
      <c r="G23" s="1387"/>
      <c r="H23" s="1387"/>
      <c r="I23" s="1605">
        <f aca="true" t="shared" si="0" ref="I23:K24">I24</f>
        <v>1117.234</v>
      </c>
      <c r="J23" s="1500">
        <f t="shared" si="0"/>
        <v>1173.0957</v>
      </c>
      <c r="K23" s="1501">
        <f t="shared" si="0"/>
        <v>1231.750485</v>
      </c>
    </row>
    <row r="24" spans="1:11" ht="22.5">
      <c r="A24" s="1280" t="s">
        <v>280</v>
      </c>
      <c r="B24" s="1455" t="s">
        <v>458</v>
      </c>
      <c r="C24" s="1226" t="s">
        <v>93</v>
      </c>
      <c r="D24" s="1227" t="s">
        <v>455</v>
      </c>
      <c r="E24" s="1227" t="s">
        <v>459</v>
      </c>
      <c r="F24" s="1563"/>
      <c r="G24" s="1227"/>
      <c r="H24" s="1227"/>
      <c r="I24" s="1606">
        <f t="shared" si="0"/>
        <v>1117.234</v>
      </c>
      <c r="J24" s="1502">
        <f t="shared" si="0"/>
        <v>1173.0957</v>
      </c>
      <c r="K24" s="1503">
        <f t="shared" si="0"/>
        <v>1231.750485</v>
      </c>
    </row>
    <row r="25" spans="1:11" ht="22.5">
      <c r="A25" s="1279" t="s">
        <v>198</v>
      </c>
      <c r="B25" s="1456" t="str">
        <f>'Бюд.р.'!A62</f>
        <v>Фонд оплаты труда и страховые взносы</v>
      </c>
      <c r="C25" s="1192" t="s">
        <v>93</v>
      </c>
      <c r="D25" s="1193" t="s">
        <v>455</v>
      </c>
      <c r="E25" s="1193" t="s">
        <v>459</v>
      </c>
      <c r="F25" s="1564" t="s">
        <v>1078</v>
      </c>
      <c r="G25" s="1193"/>
      <c r="H25" s="1193"/>
      <c r="I25" s="1607">
        <f>'Бюд.р.'!H62</f>
        <v>1117.234</v>
      </c>
      <c r="J25" s="1504">
        <f>I25*1.05</f>
        <v>1173.0957</v>
      </c>
      <c r="K25" s="1505">
        <f>J25*1.05</f>
        <v>1231.750485</v>
      </c>
    </row>
    <row r="26" spans="1:11" ht="67.5">
      <c r="A26" s="1385" t="s">
        <v>804</v>
      </c>
      <c r="B26" s="1457" t="s">
        <v>921</v>
      </c>
      <c r="C26" s="1386" t="s">
        <v>93</v>
      </c>
      <c r="D26" s="1387" t="s">
        <v>473</v>
      </c>
      <c r="E26" s="1387"/>
      <c r="F26" s="1565"/>
      <c r="G26" s="1387"/>
      <c r="H26" s="1387"/>
      <c r="I26" s="1608">
        <f>I27+I32</f>
        <v>3257.567</v>
      </c>
      <c r="J26" s="1506">
        <f>J27+J32</f>
        <v>3420.44535</v>
      </c>
      <c r="K26" s="1507">
        <f>K27+K32</f>
        <v>3591.4676175000004</v>
      </c>
    </row>
    <row r="27" spans="1:11" ht="45">
      <c r="A27" s="1280" t="s">
        <v>315</v>
      </c>
      <c r="B27" s="1335" t="s">
        <v>477</v>
      </c>
      <c r="C27" s="1254">
        <v>925</v>
      </c>
      <c r="D27" s="1230">
        <v>103</v>
      </c>
      <c r="E27" s="1363" t="s">
        <v>56</v>
      </c>
      <c r="F27" s="1417"/>
      <c r="G27" s="1230"/>
      <c r="H27" s="1230"/>
      <c r="I27" s="1606">
        <f>I28+I30</f>
        <v>1225.24</v>
      </c>
      <c r="J27" s="1502">
        <f>J28+J30</f>
        <v>1286.502</v>
      </c>
      <c r="K27" s="1503">
        <f>K28+K30</f>
        <v>1350.8271000000002</v>
      </c>
    </row>
    <row r="28" spans="1:11" ht="33.75">
      <c r="A28" s="1280" t="s">
        <v>203</v>
      </c>
      <c r="B28" s="1335" t="s">
        <v>57</v>
      </c>
      <c r="C28" s="1254">
        <v>925</v>
      </c>
      <c r="D28" s="1230">
        <v>103</v>
      </c>
      <c r="E28" s="1230" t="s">
        <v>58</v>
      </c>
      <c r="F28" s="1566"/>
      <c r="G28" s="1373"/>
      <c r="H28" s="1373"/>
      <c r="I28" s="1606">
        <f>I29</f>
        <v>960.64</v>
      </c>
      <c r="J28" s="1502">
        <f>J29</f>
        <v>1008.672</v>
      </c>
      <c r="K28" s="1503">
        <f>K29</f>
        <v>1059.1056</v>
      </c>
    </row>
    <row r="29" spans="1:11" ht="22.5">
      <c r="A29" s="1279" t="s">
        <v>204</v>
      </c>
      <c r="B29" s="1456" t="str">
        <f>'Бюд.р.'!A70</f>
        <v>Фонд оплаты труда и страховые взносы</v>
      </c>
      <c r="C29" s="1352">
        <v>925</v>
      </c>
      <c r="D29" s="1215">
        <v>103</v>
      </c>
      <c r="E29" s="1215" t="s">
        <v>58</v>
      </c>
      <c r="F29" s="1420">
        <f>'Бюд.р.'!F70</f>
        <v>121</v>
      </c>
      <c r="G29" s="1215"/>
      <c r="H29" s="1215"/>
      <c r="I29" s="1609">
        <f>'Бюд.р.'!H70</f>
        <v>960.64</v>
      </c>
      <c r="J29" s="1504">
        <f>I29*1.05</f>
        <v>1008.672</v>
      </c>
      <c r="K29" s="1505">
        <f>J29*1.05</f>
        <v>1059.1056</v>
      </c>
    </row>
    <row r="30" spans="1:11" ht="45">
      <c r="A30" s="1280" t="s">
        <v>513</v>
      </c>
      <c r="B30" s="1335" t="s">
        <v>1003</v>
      </c>
      <c r="C30" s="1254">
        <v>925</v>
      </c>
      <c r="D30" s="1230">
        <v>103</v>
      </c>
      <c r="E30" s="1230" t="s">
        <v>60</v>
      </c>
      <c r="F30" s="1417"/>
      <c r="G30" s="1230"/>
      <c r="H30" s="1230"/>
      <c r="I30" s="1606">
        <f>I31</f>
        <v>264.6</v>
      </c>
      <c r="J30" s="1502">
        <f>J31</f>
        <v>277.83000000000004</v>
      </c>
      <c r="K30" s="1503">
        <f>K31</f>
        <v>291.72150000000005</v>
      </c>
    </row>
    <row r="31" spans="1:11" ht="78.75">
      <c r="A31" s="1279" t="s">
        <v>205</v>
      </c>
      <c r="B31" s="1331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352">
        <v>925</v>
      </c>
      <c r="D31" s="1215">
        <v>103</v>
      </c>
      <c r="E31" s="1215" t="s">
        <v>60</v>
      </c>
      <c r="F31" s="1420">
        <f>'Бюд.р.'!F79</f>
        <v>123</v>
      </c>
      <c r="G31" s="1215"/>
      <c r="H31" s="1215"/>
      <c r="I31" s="1609">
        <f>'Бюд.р.'!H79</f>
        <v>264.6</v>
      </c>
      <c r="J31" s="1504">
        <f>I31*1.05</f>
        <v>277.83000000000004</v>
      </c>
      <c r="K31" s="1505">
        <f>J31*1.05</f>
        <v>291.72150000000005</v>
      </c>
    </row>
    <row r="32" spans="1:11" ht="33.75">
      <c r="A32" s="1280" t="s">
        <v>213</v>
      </c>
      <c r="B32" s="1335" t="s">
        <v>55</v>
      </c>
      <c r="C32" s="1254">
        <v>925</v>
      </c>
      <c r="D32" s="1230">
        <v>103</v>
      </c>
      <c r="E32" s="1230" t="s">
        <v>474</v>
      </c>
      <c r="F32" s="1417"/>
      <c r="G32" s="1230"/>
      <c r="H32" s="1230"/>
      <c r="I32" s="1606">
        <f>SUM(I33:I35)</f>
        <v>2032.327</v>
      </c>
      <c r="J32" s="1502">
        <f>SUM(J33:J35)</f>
        <v>2133.94335</v>
      </c>
      <c r="K32" s="1503">
        <f>SUM(K33:K35)</f>
        <v>2240.6405175</v>
      </c>
    </row>
    <row r="33" spans="1:11" ht="22.5">
      <c r="A33" s="1375" t="s">
        <v>144</v>
      </c>
      <c r="B33" s="1456" t="str">
        <f>'Бюд.р.'!A84</f>
        <v>Фонд оплаты труда и страховые взносы</v>
      </c>
      <c r="C33" s="1356">
        <v>925</v>
      </c>
      <c r="D33" s="1222">
        <v>103</v>
      </c>
      <c r="E33" s="1222" t="str">
        <f>'Бюд.р.'!D84</f>
        <v>002  04 00</v>
      </c>
      <c r="F33" s="1567">
        <f>'Бюд.р.'!F84</f>
        <v>121</v>
      </c>
      <c r="G33" s="1215"/>
      <c r="H33" s="1215"/>
      <c r="I33" s="1610">
        <f>'Бюд.р.'!H84</f>
        <v>817.6779999999999</v>
      </c>
      <c r="J33" s="1504">
        <f>I33*1.05</f>
        <v>858.5618999999999</v>
      </c>
      <c r="K33" s="1505">
        <f>J33*1.05</f>
        <v>901.4899949999999</v>
      </c>
    </row>
    <row r="34" spans="1:11" ht="22.5">
      <c r="A34" s="1375" t="s">
        <v>994</v>
      </c>
      <c r="B34" s="1331" t="str">
        <f>'Бюд.р.'!A90</f>
        <v>Прочая закупка товаров, работ и услуг для муниципальных нужд</v>
      </c>
      <c r="C34" s="1356">
        <v>925</v>
      </c>
      <c r="D34" s="1222">
        <v>103</v>
      </c>
      <c r="E34" s="1222" t="str">
        <f>'Бюд.р.'!D90</f>
        <v>002 04 00</v>
      </c>
      <c r="F34" s="1567">
        <f>'Бюд.р.'!F90</f>
        <v>244</v>
      </c>
      <c r="G34" s="1215"/>
      <c r="H34" s="1215"/>
      <c r="I34" s="1610">
        <f>'Бюд.р.'!H90</f>
        <v>1214.6490000000001</v>
      </c>
      <c r="J34" s="1504">
        <f>I34*1.05</f>
        <v>1275.38145</v>
      </c>
      <c r="K34" s="1505">
        <f>J34*1.05</f>
        <v>1339.1505225</v>
      </c>
    </row>
    <row r="35" spans="1:11" ht="23.25" thickBot="1">
      <c r="A35" s="1375" t="s">
        <v>995</v>
      </c>
      <c r="B35" s="1331" t="s">
        <v>987</v>
      </c>
      <c r="C35" s="1356">
        <v>925</v>
      </c>
      <c r="D35" s="1222">
        <v>103</v>
      </c>
      <c r="E35" s="1222" t="s">
        <v>572</v>
      </c>
      <c r="F35" s="1567">
        <v>850</v>
      </c>
      <c r="G35" s="1215"/>
      <c r="H35" s="1215"/>
      <c r="I35" s="1610">
        <v>0</v>
      </c>
      <c r="J35" s="1508"/>
      <c r="K35" s="1509"/>
    </row>
    <row r="36" spans="1:11" ht="23.25" thickBot="1">
      <c r="A36" s="1376"/>
      <c r="B36" s="1458" t="s">
        <v>457</v>
      </c>
      <c r="C36" s="1377" t="s">
        <v>631</v>
      </c>
      <c r="D36" s="1378"/>
      <c r="E36" s="1378"/>
      <c r="F36" s="1568"/>
      <c r="G36" s="1629"/>
      <c r="H36" s="1629"/>
      <c r="I36" s="1611" t="e">
        <f>I37+I70+I79+I89+I123+I127+I144+I150+I166+I172</f>
        <v>#REF!</v>
      </c>
      <c r="J36" s="1510" t="e">
        <f>J37+J70+J79+J89+J123+J127+J144+J150+J166+J172</f>
        <v>#REF!</v>
      </c>
      <c r="K36" s="1511" t="e">
        <f>K37+K70+K79+K89+K123+K127+K144+K150+K166+K172</f>
        <v>#REF!</v>
      </c>
    </row>
    <row r="37" spans="1:11" ht="23.25" thickBot="1">
      <c r="A37" s="1379" t="s">
        <v>673</v>
      </c>
      <c r="B37" s="1453" t="s">
        <v>111</v>
      </c>
      <c r="C37" s="1380" t="s">
        <v>631</v>
      </c>
      <c r="D37" s="1381" t="s">
        <v>456</v>
      </c>
      <c r="E37" s="1381"/>
      <c r="F37" s="1561"/>
      <c r="G37" s="1628"/>
      <c r="H37" s="1628"/>
      <c r="I37" s="1604" t="e">
        <f>I38+I50+I53</f>
        <v>#REF!</v>
      </c>
      <c r="J37" s="1498" t="e">
        <f>J38+J50+J53</f>
        <v>#REF!</v>
      </c>
      <c r="K37" s="1499" t="e">
        <f>K38+K50+K53</f>
        <v>#REF!</v>
      </c>
    </row>
    <row r="38" spans="1:11" ht="101.25">
      <c r="A38" s="1382" t="s">
        <v>471</v>
      </c>
      <c r="B38" s="1459" t="s">
        <v>922</v>
      </c>
      <c r="C38" s="1383" t="s">
        <v>631</v>
      </c>
      <c r="D38" s="1384" t="s">
        <v>475</v>
      </c>
      <c r="E38" s="1384"/>
      <c r="F38" s="1562"/>
      <c r="G38" s="1387"/>
      <c r="H38" s="1387"/>
      <c r="I38" s="1605">
        <f>I39+I41</f>
        <v>26517.321999999996</v>
      </c>
      <c r="J38" s="1500">
        <f>J39+J41</f>
        <v>27842.6081</v>
      </c>
      <c r="K38" s="1501">
        <f>K39+K41</f>
        <v>29234.773504999997</v>
      </c>
    </row>
    <row r="39" spans="1:11" ht="22.5">
      <c r="A39" s="1280" t="s">
        <v>270</v>
      </c>
      <c r="B39" s="1455" t="s">
        <v>96</v>
      </c>
      <c r="C39" s="1226" t="s">
        <v>631</v>
      </c>
      <c r="D39" s="1227" t="s">
        <v>475</v>
      </c>
      <c r="E39" s="1227" t="s">
        <v>476</v>
      </c>
      <c r="F39" s="1563"/>
      <c r="G39" s="1227"/>
      <c r="H39" s="1227"/>
      <c r="I39" s="1606">
        <f>I40</f>
        <v>1117.234</v>
      </c>
      <c r="J39" s="1502">
        <f>J40</f>
        <v>1173.0957</v>
      </c>
      <c r="K39" s="1503">
        <f>K40</f>
        <v>1231.750485</v>
      </c>
    </row>
    <row r="40" spans="1:11" ht="22.5">
      <c r="A40" s="1279" t="s">
        <v>211</v>
      </c>
      <c r="B40" s="1456" t="str">
        <f>'Бюд.р.'!A153</f>
        <v>Фонд оплаты труда и страховые взносы</v>
      </c>
      <c r="C40" s="1192" t="s">
        <v>631</v>
      </c>
      <c r="D40" s="1193" t="s">
        <v>475</v>
      </c>
      <c r="E40" s="1193" t="s">
        <v>476</v>
      </c>
      <c r="F40" s="1564">
        <f>'Бюд.р.'!F153</f>
        <v>121</v>
      </c>
      <c r="G40" s="1193"/>
      <c r="H40" s="1193"/>
      <c r="I40" s="1609">
        <f>'Бюд.р.'!H153</f>
        <v>1117.234</v>
      </c>
      <c r="J40" s="1504">
        <f>I40*1.05</f>
        <v>1173.0957</v>
      </c>
      <c r="K40" s="1505">
        <f>J40*1.05</f>
        <v>1231.750485</v>
      </c>
    </row>
    <row r="41" spans="1:11" ht="12.75">
      <c r="A41" s="1280" t="s">
        <v>4</v>
      </c>
      <c r="B41" s="1335" t="s">
        <v>1004</v>
      </c>
      <c r="C41" s="1254">
        <v>968</v>
      </c>
      <c r="D41" s="1230">
        <v>104</v>
      </c>
      <c r="E41" s="1230" t="s">
        <v>62</v>
      </c>
      <c r="F41" s="1564"/>
      <c r="G41" s="1193"/>
      <c r="H41" s="1193"/>
      <c r="I41" s="1606">
        <f>I42+I48</f>
        <v>25400.087999999996</v>
      </c>
      <c r="J41" s="1502">
        <f>J42+J48</f>
        <v>26669.5124</v>
      </c>
      <c r="K41" s="1503">
        <f>K42+K48</f>
        <v>28003.023019999997</v>
      </c>
    </row>
    <row r="42" spans="1:11" ht="45">
      <c r="A42" s="1280" t="s">
        <v>5</v>
      </c>
      <c r="B42" s="1455" t="s">
        <v>65</v>
      </c>
      <c r="C42" s="1226" t="s">
        <v>631</v>
      </c>
      <c r="D42" s="1227" t="s">
        <v>475</v>
      </c>
      <c r="E42" s="1227" t="s">
        <v>63</v>
      </c>
      <c r="F42" s="1563"/>
      <c r="G42" s="1227"/>
      <c r="H42" s="1227"/>
      <c r="I42" s="1606">
        <f>I43+I44+I47</f>
        <v>25394.487999999998</v>
      </c>
      <c r="J42" s="1502">
        <f>J43+J44+J47</f>
        <v>26664.2124</v>
      </c>
      <c r="K42" s="1503">
        <f>K43+K44+K47</f>
        <v>27997.42302</v>
      </c>
    </row>
    <row r="43" spans="1:11" ht="22.5">
      <c r="A43" s="1279" t="s">
        <v>35</v>
      </c>
      <c r="B43" s="1456" t="str">
        <f>'Бюд.р.'!A160</f>
        <v>Фонд оплаты труда и страховые взносы</v>
      </c>
      <c r="C43" s="1372">
        <v>968</v>
      </c>
      <c r="D43" s="1373">
        <v>104</v>
      </c>
      <c r="E43" s="1373" t="s">
        <v>63</v>
      </c>
      <c r="F43" s="1566">
        <f>'Бюд.р.'!F160</f>
        <v>121</v>
      </c>
      <c r="G43" s="1373"/>
      <c r="H43" s="1373"/>
      <c r="I43" s="1607">
        <f>'Бюд.р.'!H160</f>
        <v>19630.689</v>
      </c>
      <c r="J43" s="1504">
        <f>I43*1.05</f>
        <v>20612.223449999998</v>
      </c>
      <c r="K43" s="1505">
        <f>J43*1.05</f>
        <v>21642.8346225</v>
      </c>
    </row>
    <row r="44" spans="1:11" ht="22.5">
      <c r="A44" s="1279" t="s">
        <v>996</v>
      </c>
      <c r="B44" s="1374" t="s">
        <v>988</v>
      </c>
      <c r="C44" s="1372">
        <v>968</v>
      </c>
      <c r="D44" s="1373">
        <v>104</v>
      </c>
      <c r="E44" s="1373" t="s">
        <v>63</v>
      </c>
      <c r="F44" s="1566">
        <v>240</v>
      </c>
      <c r="G44" s="1373"/>
      <c r="H44" s="1373"/>
      <c r="I44" s="1607">
        <f>SUM(I45:I46)</f>
        <v>5743.199</v>
      </c>
      <c r="J44" s="1512">
        <f>SUM(J45:J46)</f>
        <v>6030.35895</v>
      </c>
      <c r="K44" s="1513">
        <f>SUM(K45:K46)</f>
        <v>6331.8768975</v>
      </c>
    </row>
    <row r="45" spans="1:11" ht="33.75">
      <c r="A45" s="1279" t="s">
        <v>201</v>
      </c>
      <c r="B45" s="1374" t="str">
        <f>'Бюд.р.'!A166</f>
        <v>Закупка товаров, работ, услуг в сфере информационно-коммуникационных технологий</v>
      </c>
      <c r="C45" s="1372">
        <v>968</v>
      </c>
      <c r="D45" s="1373">
        <f>'Бюд.р.'!C166</f>
        <v>104</v>
      </c>
      <c r="E45" s="1373" t="str">
        <f>'Бюд.р.'!D166</f>
        <v>002  06 01</v>
      </c>
      <c r="F45" s="1566">
        <f>'Бюд.р.'!F166</f>
        <v>242</v>
      </c>
      <c r="G45" s="1373"/>
      <c r="H45" s="1373"/>
      <c r="I45" s="1607">
        <f>'Бюд.р.'!H166</f>
        <v>2929.254</v>
      </c>
      <c r="J45" s="1504">
        <f aca="true" t="shared" si="1" ref="J45:K47">I45*1.05</f>
        <v>3075.7167</v>
      </c>
      <c r="K45" s="1505">
        <f t="shared" si="1"/>
        <v>3229.502535</v>
      </c>
    </row>
    <row r="46" spans="1:11" ht="22.5">
      <c r="A46" s="1279" t="s">
        <v>202</v>
      </c>
      <c r="B46" s="1374" t="str">
        <f>'Бюд.р.'!A175</f>
        <v>Прочая закупка товаров, работ и услуг для муниципальных нужд</v>
      </c>
      <c r="C46" s="1372">
        <v>968</v>
      </c>
      <c r="D46" s="1373">
        <f>'Бюд.р.'!C175</f>
        <v>104</v>
      </c>
      <c r="E46" s="1373" t="str">
        <f>'Бюд.р.'!D175</f>
        <v>002  06 01</v>
      </c>
      <c r="F46" s="1566">
        <f>'Бюд.р.'!F175</f>
        <v>244</v>
      </c>
      <c r="G46" s="1373"/>
      <c r="H46" s="1373"/>
      <c r="I46" s="1607">
        <f>'Бюд.р.'!H175</f>
        <v>2813.9449999999997</v>
      </c>
      <c r="J46" s="1504">
        <f t="shared" si="1"/>
        <v>2954.64225</v>
      </c>
      <c r="K46" s="1505">
        <f t="shared" si="1"/>
        <v>3102.3743625</v>
      </c>
    </row>
    <row r="47" spans="1:11" ht="22.5">
      <c r="A47" s="1279" t="s">
        <v>997</v>
      </c>
      <c r="B47" s="1374" t="str">
        <f>'Бюд.р.'!A202</f>
        <v>Уплата налога на имущество организаций и земельного налога</v>
      </c>
      <c r="C47" s="1372">
        <v>968</v>
      </c>
      <c r="D47" s="1373">
        <v>104</v>
      </c>
      <c r="E47" s="1373" t="str">
        <f>'Бюд.р.'!D202</f>
        <v>002  06 01</v>
      </c>
      <c r="F47" s="1566">
        <f>'Бюд.р.'!F202</f>
        <v>851</v>
      </c>
      <c r="G47" s="1373"/>
      <c r="H47" s="1373"/>
      <c r="I47" s="1607">
        <f>'Бюд.р.'!H202</f>
        <v>20.6</v>
      </c>
      <c r="J47" s="1504">
        <f t="shared" si="1"/>
        <v>21.630000000000003</v>
      </c>
      <c r="K47" s="1505">
        <f t="shared" si="1"/>
        <v>22.711500000000004</v>
      </c>
    </row>
    <row r="48" spans="1:11" ht="90">
      <c r="A48" s="1284" t="s">
        <v>34</v>
      </c>
      <c r="B48" s="1329" t="s">
        <v>67</v>
      </c>
      <c r="C48" s="1364">
        <v>968</v>
      </c>
      <c r="D48" s="1365">
        <v>104</v>
      </c>
      <c r="E48" s="1365" t="s">
        <v>68</v>
      </c>
      <c r="F48" s="1569"/>
      <c r="G48" s="1365"/>
      <c r="H48" s="1365"/>
      <c r="I48" s="1612">
        <f>I49</f>
        <v>5.6</v>
      </c>
      <c r="J48" s="1514">
        <f>J49</f>
        <v>5.3</v>
      </c>
      <c r="K48" s="1515">
        <f>K49</f>
        <v>5.6</v>
      </c>
    </row>
    <row r="49" spans="1:11" ht="45">
      <c r="A49" s="1279" t="s">
        <v>36</v>
      </c>
      <c r="B49" s="1331" t="s">
        <v>776</v>
      </c>
      <c r="C49" s="1352">
        <v>968</v>
      </c>
      <c r="D49" s="1215">
        <v>104</v>
      </c>
      <c r="E49" s="1215" t="s">
        <v>68</v>
      </c>
      <c r="F49" s="1420">
        <v>598</v>
      </c>
      <c r="G49" s="1215"/>
      <c r="H49" s="1215"/>
      <c r="I49" s="1609">
        <f>'Бюд.р.'!H210</f>
        <v>5.6</v>
      </c>
      <c r="J49" s="1504">
        <v>5.3</v>
      </c>
      <c r="K49" s="1505">
        <v>5.6</v>
      </c>
    </row>
    <row r="50" spans="1:11" ht="12.75">
      <c r="A50" s="1385" t="s">
        <v>680</v>
      </c>
      <c r="B50" s="1460" t="s">
        <v>26</v>
      </c>
      <c r="C50" s="1386">
        <v>968</v>
      </c>
      <c r="D50" s="1387">
        <v>111</v>
      </c>
      <c r="E50" s="1387"/>
      <c r="F50" s="1565"/>
      <c r="G50" s="1387"/>
      <c r="H50" s="1387"/>
      <c r="I50" s="1608">
        <f aca="true" t="shared" si="2" ref="I50:K51">I51</f>
        <v>1279.516</v>
      </c>
      <c r="J50" s="1506">
        <f t="shared" si="2"/>
        <v>1343.4918000000002</v>
      </c>
      <c r="K50" s="1507">
        <f t="shared" si="2"/>
        <v>1410.6663900000003</v>
      </c>
    </row>
    <row r="51" spans="1:11" ht="22.5">
      <c r="A51" s="1280" t="s">
        <v>681</v>
      </c>
      <c r="B51" s="1335" t="s">
        <v>27</v>
      </c>
      <c r="C51" s="1254">
        <v>968</v>
      </c>
      <c r="D51" s="1230">
        <v>111</v>
      </c>
      <c r="E51" s="1230" t="s">
        <v>28</v>
      </c>
      <c r="F51" s="1417"/>
      <c r="G51" s="1230"/>
      <c r="H51" s="1230"/>
      <c r="I51" s="1612">
        <f t="shared" si="2"/>
        <v>1279.516</v>
      </c>
      <c r="J51" s="1514">
        <f t="shared" si="2"/>
        <v>1343.4918000000002</v>
      </c>
      <c r="K51" s="1515">
        <f t="shared" si="2"/>
        <v>1410.6663900000003</v>
      </c>
    </row>
    <row r="52" spans="1:11" ht="12.75">
      <c r="A52" s="1279" t="s">
        <v>434</v>
      </c>
      <c r="B52" s="1331" t="s">
        <v>989</v>
      </c>
      <c r="C52" s="1352">
        <v>968</v>
      </c>
      <c r="D52" s="1215">
        <v>111</v>
      </c>
      <c r="E52" s="1215" t="s">
        <v>29</v>
      </c>
      <c r="F52" s="1420">
        <v>870</v>
      </c>
      <c r="G52" s="1215"/>
      <c r="H52" s="1215"/>
      <c r="I52" s="1609">
        <f>'Бюд.р.'!H223</f>
        <v>1279.516</v>
      </c>
      <c r="J52" s="1504">
        <f>I52*1.05</f>
        <v>1343.4918000000002</v>
      </c>
      <c r="K52" s="1505">
        <f>J52*1.05</f>
        <v>1410.6663900000003</v>
      </c>
    </row>
    <row r="53" spans="1:11" ht="22.5">
      <c r="A53" s="1385" t="s">
        <v>326</v>
      </c>
      <c r="B53" s="1457" t="s">
        <v>421</v>
      </c>
      <c r="C53" s="1386" t="s">
        <v>631</v>
      </c>
      <c r="D53" s="1387" t="s">
        <v>925</v>
      </c>
      <c r="E53" s="1388"/>
      <c r="F53" s="1570"/>
      <c r="G53" s="1388"/>
      <c r="H53" s="1388"/>
      <c r="I53" s="1608" t="e">
        <f>I54+I56+I58+I60+I62+I64+I66+I68</f>
        <v>#REF!</v>
      </c>
      <c r="J53" s="1506" t="e">
        <f>J54+J56+J58+J60+J62+J64+J66+J68</f>
        <v>#REF!</v>
      </c>
      <c r="K53" s="1507" t="e">
        <f>K54+K56+K58+K60+K62+K64+K66+K68</f>
        <v>#REF!</v>
      </c>
    </row>
    <row r="54" spans="1:11" ht="56.25">
      <c r="A54" s="1280" t="s">
        <v>721</v>
      </c>
      <c r="B54" s="1335" t="s">
        <v>1007</v>
      </c>
      <c r="C54" s="1226" t="s">
        <v>631</v>
      </c>
      <c r="D54" s="1227" t="s">
        <v>925</v>
      </c>
      <c r="E54" s="1260" t="str">
        <f>E55</f>
        <v>090 01 00</v>
      </c>
      <c r="F54" s="1563"/>
      <c r="G54" s="1227"/>
      <c r="H54" s="1227"/>
      <c r="I54" s="1606">
        <f>I55</f>
        <v>109.65</v>
      </c>
      <c r="J54" s="1502">
        <f>J55</f>
        <v>115.13250000000001</v>
      </c>
      <c r="K54" s="1503">
        <f>K55</f>
        <v>120.889125</v>
      </c>
    </row>
    <row r="55" spans="1:11" ht="22.5">
      <c r="A55" s="1279" t="s">
        <v>98</v>
      </c>
      <c r="B55" s="1331" t="str">
        <f>'Бюд.р.'!A229</f>
        <v>Прочая закупка товаров, работ и услуг для муниципальных нужд</v>
      </c>
      <c r="C55" s="1192" t="s">
        <v>631</v>
      </c>
      <c r="D55" s="1193" t="s">
        <v>925</v>
      </c>
      <c r="E55" s="1193" t="s">
        <v>1005</v>
      </c>
      <c r="F55" s="1564">
        <f>'Бюд.р.'!F229</f>
        <v>244</v>
      </c>
      <c r="G55" s="1193"/>
      <c r="H55" s="1193"/>
      <c r="I55" s="1607">
        <f>'Бюд.р.'!H229</f>
        <v>109.65</v>
      </c>
      <c r="J55" s="1504">
        <f>I55*1.05</f>
        <v>115.13250000000001</v>
      </c>
      <c r="K55" s="1505">
        <f>J55*1.05</f>
        <v>120.889125</v>
      </c>
    </row>
    <row r="56" spans="1:11" ht="112.5">
      <c r="A56" s="1280" t="s">
        <v>781</v>
      </c>
      <c r="B56" s="1455" t="s">
        <v>425</v>
      </c>
      <c r="C56" s="1226" t="s">
        <v>631</v>
      </c>
      <c r="D56" s="1227" t="s">
        <v>925</v>
      </c>
      <c r="E56" s="1260" t="s">
        <v>255</v>
      </c>
      <c r="F56" s="1571"/>
      <c r="G56" s="1630"/>
      <c r="H56" s="1630"/>
      <c r="I56" s="1606">
        <f>SUM(I57:I57)</f>
        <v>0</v>
      </c>
      <c r="J56" s="1502">
        <f>SUM(J57:J57)</f>
        <v>0</v>
      </c>
      <c r="K56" s="1503">
        <f>SUM(K57:K57)</f>
        <v>0</v>
      </c>
    </row>
    <row r="57" spans="1:11" ht="22.5">
      <c r="A57" s="1279" t="s">
        <v>472</v>
      </c>
      <c r="B57" s="1456" t="s">
        <v>932</v>
      </c>
      <c r="C57" s="1192" t="s">
        <v>631</v>
      </c>
      <c r="D57" s="1193" t="s">
        <v>925</v>
      </c>
      <c r="E57" s="1193" t="s">
        <v>255</v>
      </c>
      <c r="F57" s="1564" t="s">
        <v>998</v>
      </c>
      <c r="G57" s="1193"/>
      <c r="H57" s="1193"/>
      <c r="I57" s="1607">
        <f>'Бюд.р.'!H237</f>
        <v>0</v>
      </c>
      <c r="J57" s="1504">
        <f>I57*1.05</f>
        <v>0</v>
      </c>
      <c r="K57" s="1505">
        <f>J57*1.05</f>
        <v>0</v>
      </c>
    </row>
    <row r="58" spans="1:11" ht="22.5">
      <c r="A58" s="1280" t="s">
        <v>12</v>
      </c>
      <c r="B58" s="1335" t="s">
        <v>896</v>
      </c>
      <c r="C58" s="1254">
        <v>968</v>
      </c>
      <c r="D58" s="1230">
        <v>113</v>
      </c>
      <c r="E58" s="1230" t="str">
        <f>E59</f>
        <v>092 02 00</v>
      </c>
      <c r="F58" s="1417"/>
      <c r="G58" s="1230"/>
      <c r="H58" s="1230"/>
      <c r="I58" s="1606">
        <f>I59</f>
        <v>400</v>
      </c>
      <c r="J58" s="1502">
        <f>J59</f>
        <v>420</v>
      </c>
      <c r="K58" s="1503">
        <f>K59</f>
        <v>441</v>
      </c>
    </row>
    <row r="59" spans="1:11" ht="22.5">
      <c r="A59" s="1279" t="s">
        <v>13</v>
      </c>
      <c r="B59" s="1331" t="str">
        <f>'Бюд.р.'!A242</f>
        <v>Прочая закупка товаров, работ и услуг для муниципальных нужд</v>
      </c>
      <c r="C59" s="1352">
        <v>968</v>
      </c>
      <c r="D59" s="1215">
        <v>113</v>
      </c>
      <c r="E59" s="1215" t="s">
        <v>571</v>
      </c>
      <c r="F59" s="1420">
        <f>'Бюд.р.'!F242</f>
        <v>244</v>
      </c>
      <c r="G59" s="1215"/>
      <c r="H59" s="1215"/>
      <c r="I59" s="1609">
        <f>'Бюд.р.'!H242</f>
        <v>400</v>
      </c>
      <c r="J59" s="1504">
        <f>I59*1.05</f>
        <v>420</v>
      </c>
      <c r="K59" s="1505">
        <f>J59*1.05</f>
        <v>441</v>
      </c>
    </row>
    <row r="60" spans="1:11" ht="78.75">
      <c r="A60" s="1280" t="s">
        <v>903</v>
      </c>
      <c r="B60" s="1335" t="s">
        <v>1008</v>
      </c>
      <c r="C60" s="1254">
        <v>968</v>
      </c>
      <c r="D60" s="1230">
        <v>113</v>
      </c>
      <c r="E60" s="1230" t="str">
        <f>E61</f>
        <v>092 05 00</v>
      </c>
      <c r="F60" s="1564"/>
      <c r="G60" s="1193"/>
      <c r="H60" s="1193"/>
      <c r="I60" s="1606" t="e">
        <f>I61</f>
        <v>#REF!</v>
      </c>
      <c r="J60" s="1502" t="e">
        <f>J61</f>
        <v>#REF!</v>
      </c>
      <c r="K60" s="1503" t="e">
        <f>K61</f>
        <v>#REF!</v>
      </c>
    </row>
    <row r="61" spans="1:11" ht="12.75">
      <c r="A61" s="1279" t="s">
        <v>904</v>
      </c>
      <c r="B61" s="1331" t="e">
        <f>'Бюд.р.'!#REF!</f>
        <v>#REF!</v>
      </c>
      <c r="C61" s="1192" t="s">
        <v>631</v>
      </c>
      <c r="D61" s="1193" t="s">
        <v>925</v>
      </c>
      <c r="E61" s="1193" t="s">
        <v>469</v>
      </c>
      <c r="F61" s="1564" t="e">
        <f>'Бюд.р.'!#REF!</f>
        <v>#REF!</v>
      </c>
      <c r="G61" s="1193"/>
      <c r="H61" s="1193"/>
      <c r="I61" s="1607" t="e">
        <f>'Бюд.р.'!#REF!</f>
        <v>#REF!</v>
      </c>
      <c r="J61" s="1504" t="e">
        <f>I61*1.05</f>
        <v>#REF!</v>
      </c>
      <c r="K61" s="1505" t="e">
        <f>J61*1.05</f>
        <v>#REF!</v>
      </c>
    </row>
    <row r="62" spans="1:11" ht="112.5">
      <c r="A62" s="1280" t="s">
        <v>905</v>
      </c>
      <c r="B62" s="1335" t="s">
        <v>1009</v>
      </c>
      <c r="C62" s="1254">
        <v>968</v>
      </c>
      <c r="D62" s="1230">
        <v>113</v>
      </c>
      <c r="E62" s="1230" t="str">
        <f>E63</f>
        <v>092 06 00</v>
      </c>
      <c r="F62" s="1417"/>
      <c r="G62" s="1230"/>
      <c r="H62" s="1230"/>
      <c r="I62" s="1606">
        <f>I63</f>
        <v>333.91999999999996</v>
      </c>
      <c r="J62" s="1502">
        <f>J63</f>
        <v>350.616</v>
      </c>
      <c r="K62" s="1503">
        <f>K63</f>
        <v>368.1468</v>
      </c>
    </row>
    <row r="63" spans="1:11" ht="22.5">
      <c r="A63" s="1285" t="s">
        <v>906</v>
      </c>
      <c r="B63" s="1331" t="str">
        <f>'Бюд.р.'!A252</f>
        <v>Прочая закупка товаров, работ и услуг для муниципальных нужд</v>
      </c>
      <c r="C63" s="1356">
        <v>968</v>
      </c>
      <c r="D63" s="1222">
        <v>113</v>
      </c>
      <c r="E63" s="1222" t="s">
        <v>1010</v>
      </c>
      <c r="F63" s="1567">
        <f>'Бюд.р.'!F252</f>
        <v>244</v>
      </c>
      <c r="G63" s="1215"/>
      <c r="H63" s="1215"/>
      <c r="I63" s="1610">
        <f>'Бюд.р.'!H252</f>
        <v>333.91999999999996</v>
      </c>
      <c r="J63" s="1504">
        <f>I63*1.05</f>
        <v>350.616</v>
      </c>
      <c r="K63" s="1505">
        <f>J63*1.05</f>
        <v>368.1468</v>
      </c>
    </row>
    <row r="64" spans="1:11" ht="22.5">
      <c r="A64" s="1280" t="s">
        <v>965</v>
      </c>
      <c r="B64" s="1329" t="str">
        <f>'Бюд.р.'!A255</f>
        <v>РАСХОДЫ НА ПОДДЕРЖАНИЕ САЙТА МО МО ОЗЕРО ДОЛГОЕ</v>
      </c>
      <c r="C64" s="1389">
        <f>'Бюд.р.'!B255</f>
        <v>968</v>
      </c>
      <c r="D64" s="1390">
        <f>'Бюд.р.'!C255</f>
        <v>113</v>
      </c>
      <c r="E64" s="1390" t="str">
        <f>'Бюд.р.'!D255</f>
        <v>092 08 00</v>
      </c>
      <c r="F64" s="1572"/>
      <c r="G64" s="1365"/>
      <c r="H64" s="1365"/>
      <c r="I64" s="1613">
        <f>I65</f>
        <v>0</v>
      </c>
      <c r="J64" s="1516">
        <f>J65</f>
        <v>0</v>
      </c>
      <c r="K64" s="1517">
        <f>K65</f>
        <v>0</v>
      </c>
    </row>
    <row r="65" spans="1:11" ht="33.75">
      <c r="A65" s="1285" t="s">
        <v>966</v>
      </c>
      <c r="B65" s="1331" t="str">
        <f>'Бюд.р.'!A257</f>
        <v>Закупка товаров, работ, услуг в сфере информационно-коммуникационных технологий</v>
      </c>
      <c r="C65" s="1356">
        <v>968</v>
      </c>
      <c r="D65" s="1222">
        <v>113</v>
      </c>
      <c r="E65" s="1222" t="str">
        <f>'Бюд.р.'!D257</f>
        <v>092 08 00</v>
      </c>
      <c r="F65" s="1567">
        <f>'Бюд.р.'!F257</f>
        <v>242</v>
      </c>
      <c r="G65" s="1215"/>
      <c r="H65" s="1215"/>
      <c r="I65" s="1610">
        <f>'Бюд.р.'!H257</f>
        <v>0</v>
      </c>
      <c r="J65" s="1504">
        <f>I65*1.05</f>
        <v>0</v>
      </c>
      <c r="K65" s="1505">
        <f>J65*1.05</f>
        <v>0</v>
      </c>
    </row>
    <row r="66" spans="1:11" ht="12.75">
      <c r="A66" s="1284" t="s">
        <v>1088</v>
      </c>
      <c r="B66" s="1329" t="e">
        <f>'Бюд.р.'!#REF!</f>
        <v>#REF!</v>
      </c>
      <c r="C66" s="1389">
        <v>968</v>
      </c>
      <c r="D66" s="1390">
        <v>113</v>
      </c>
      <c r="E66" s="1390" t="e">
        <f>'Бюд.р.'!#REF!</f>
        <v>#REF!</v>
      </c>
      <c r="F66" s="1572"/>
      <c r="G66" s="1365"/>
      <c r="H66" s="1365"/>
      <c r="I66" s="1613" t="e">
        <f>I67</f>
        <v>#REF!</v>
      </c>
      <c r="J66" s="1516" t="e">
        <f>J67</f>
        <v>#REF!</v>
      </c>
      <c r="K66" s="1517" t="e">
        <f>K67</f>
        <v>#REF!</v>
      </c>
    </row>
    <row r="67" spans="1:11" ht="12.75">
      <c r="A67" s="1279" t="s">
        <v>1089</v>
      </c>
      <c r="B67" s="1331" t="e">
        <f>'Бюд.р.'!#REF!</f>
        <v>#REF!</v>
      </c>
      <c r="C67" s="1356">
        <v>968</v>
      </c>
      <c r="D67" s="1222">
        <v>113</v>
      </c>
      <c r="E67" s="1222" t="e">
        <f>'Бюд.р.'!#REF!</f>
        <v>#REF!</v>
      </c>
      <c r="F67" s="1567" t="e">
        <f>'Бюд.р.'!#REF!</f>
        <v>#REF!</v>
      </c>
      <c r="G67" s="1215"/>
      <c r="H67" s="1215"/>
      <c r="I67" s="1610" t="e">
        <f>'Бюд.р.'!#REF!</f>
        <v>#REF!</v>
      </c>
      <c r="J67" s="1504" t="e">
        <f>I67*1.05</f>
        <v>#REF!</v>
      </c>
      <c r="K67" s="1505" t="e">
        <f>J67*1.05</f>
        <v>#REF!</v>
      </c>
    </row>
    <row r="68" spans="1:11" ht="45">
      <c r="A68" s="1280" t="s">
        <v>1090</v>
      </c>
      <c r="B68" s="1335" t="s">
        <v>1015</v>
      </c>
      <c r="C68" s="1254">
        <v>968</v>
      </c>
      <c r="D68" s="1230">
        <v>113</v>
      </c>
      <c r="E68" s="1230" t="str">
        <f>E69</f>
        <v>795 02 00</v>
      </c>
      <c r="F68" s="1566"/>
      <c r="G68" s="1373"/>
      <c r="H68" s="1373"/>
      <c r="I68" s="1606">
        <f>I69</f>
        <v>90</v>
      </c>
      <c r="J68" s="1502">
        <f>J69</f>
        <v>94.5</v>
      </c>
      <c r="K68" s="1503">
        <f>K69</f>
        <v>99.22500000000001</v>
      </c>
    </row>
    <row r="69" spans="1:11" ht="23.25" thickBot="1">
      <c r="A69" s="1279" t="s">
        <v>1091</v>
      </c>
      <c r="B69" s="1331" t="str">
        <f>'Бюд.р.'!A268</f>
        <v>Прочая закупка товаров, работ и услуг для муниципальных нужд</v>
      </c>
      <c r="C69" s="1352">
        <v>968</v>
      </c>
      <c r="D69" s="1215">
        <v>113</v>
      </c>
      <c r="E69" s="1215" t="s">
        <v>1013</v>
      </c>
      <c r="F69" s="1420">
        <f>'Бюд.р.'!F268</f>
        <v>244</v>
      </c>
      <c r="G69" s="1215"/>
      <c r="H69" s="1215"/>
      <c r="I69" s="1609">
        <f>'Бюд.р.'!H268</f>
        <v>90</v>
      </c>
      <c r="J69" s="1504">
        <f>I69*1.05</f>
        <v>94.5</v>
      </c>
      <c r="K69" s="1505">
        <f>J69*1.05</f>
        <v>99.22500000000001</v>
      </c>
    </row>
    <row r="70" spans="1:11" ht="45.75" thickBot="1">
      <c r="A70" s="1379" t="s">
        <v>674</v>
      </c>
      <c r="B70" s="1453" t="s">
        <v>262</v>
      </c>
      <c r="C70" s="1380" t="s">
        <v>631</v>
      </c>
      <c r="D70" s="1381" t="s">
        <v>468</v>
      </c>
      <c r="E70" s="1381"/>
      <c r="F70" s="1573"/>
      <c r="G70" s="1631"/>
      <c r="H70" s="1631"/>
      <c r="I70" s="1614" t="e">
        <f>I71</f>
        <v>#REF!</v>
      </c>
      <c r="J70" s="1518" t="e">
        <f>J71</f>
        <v>#REF!</v>
      </c>
      <c r="K70" s="1519" t="e">
        <f>K71</f>
        <v>#REF!</v>
      </c>
    </row>
    <row r="71" spans="1:11" ht="45">
      <c r="A71" s="1382" t="s">
        <v>327</v>
      </c>
      <c r="B71" s="1454" t="s">
        <v>924</v>
      </c>
      <c r="C71" s="1383" t="s">
        <v>631</v>
      </c>
      <c r="D71" s="1384" t="s">
        <v>419</v>
      </c>
      <c r="E71" s="1391"/>
      <c r="F71" s="1574"/>
      <c r="G71" s="1632"/>
      <c r="H71" s="1632"/>
      <c r="I71" s="1605" t="e">
        <f>I72+I77</f>
        <v>#REF!</v>
      </c>
      <c r="J71" s="1500" t="e">
        <f>J72+J77</f>
        <v>#REF!</v>
      </c>
      <c r="K71" s="1501" t="e">
        <f>K72+K77</f>
        <v>#REF!</v>
      </c>
    </row>
    <row r="72" spans="1:11" ht="22.5">
      <c r="A72" s="1280" t="s">
        <v>722</v>
      </c>
      <c r="B72" s="1335" t="s">
        <v>1033</v>
      </c>
      <c r="C72" s="1226" t="s">
        <v>631</v>
      </c>
      <c r="D72" s="1227" t="s">
        <v>419</v>
      </c>
      <c r="E72" s="1227" t="s">
        <v>726</v>
      </c>
      <c r="F72" s="1563"/>
      <c r="G72" s="1227"/>
      <c r="H72" s="1227"/>
      <c r="I72" s="1606" t="e">
        <f>I73+I75</f>
        <v>#REF!</v>
      </c>
      <c r="J72" s="1502" t="e">
        <f>J73+J75</f>
        <v>#REF!</v>
      </c>
      <c r="K72" s="1503" t="e">
        <f>K73+K75</f>
        <v>#REF!</v>
      </c>
    </row>
    <row r="73" spans="1:11" ht="56.25">
      <c r="A73" s="1304" t="s">
        <v>99</v>
      </c>
      <c r="B73" s="1335" t="s">
        <v>1021</v>
      </c>
      <c r="C73" s="1254">
        <v>968</v>
      </c>
      <c r="D73" s="1230">
        <v>309</v>
      </c>
      <c r="E73" s="1230" t="str">
        <f>E74</f>
        <v>219 01 00</v>
      </c>
      <c r="F73" s="1563"/>
      <c r="G73" s="1227"/>
      <c r="H73" s="1227"/>
      <c r="I73" s="1606" t="e">
        <f>I74</f>
        <v>#REF!</v>
      </c>
      <c r="J73" s="1502" t="e">
        <f>J74</f>
        <v>#REF!</v>
      </c>
      <c r="K73" s="1503" t="e">
        <f>K74</f>
        <v>#REF!</v>
      </c>
    </row>
    <row r="74" spans="1:11" ht="12.75">
      <c r="A74" s="1279" t="s">
        <v>146</v>
      </c>
      <c r="B74" s="1331" t="e">
        <f>'Бюд.р.'!#REF!</f>
        <v>#REF!</v>
      </c>
      <c r="C74" s="1352">
        <v>968</v>
      </c>
      <c r="D74" s="1215">
        <v>309</v>
      </c>
      <c r="E74" s="1215" t="s">
        <v>1022</v>
      </c>
      <c r="F74" s="1575" t="e">
        <f>'Бюд.р.'!#REF!</f>
        <v>#REF!</v>
      </c>
      <c r="G74" s="1633"/>
      <c r="H74" s="1633"/>
      <c r="I74" s="1609" t="e">
        <f>'Бюд.р.'!#REF!</f>
        <v>#REF!</v>
      </c>
      <c r="J74" s="1504" t="e">
        <f>I74*1.05</f>
        <v>#REF!</v>
      </c>
      <c r="K74" s="1505" t="e">
        <f>J74*1.05</f>
        <v>#REF!</v>
      </c>
    </row>
    <row r="75" spans="1:11" ht="101.25">
      <c r="A75" s="1280" t="s">
        <v>226</v>
      </c>
      <c r="B75" s="1461" t="s">
        <v>1019</v>
      </c>
      <c r="C75" s="1360">
        <v>968</v>
      </c>
      <c r="D75" s="1305">
        <v>309</v>
      </c>
      <c r="E75" s="1305" t="str">
        <f>E76</f>
        <v>219 03 00</v>
      </c>
      <c r="F75" s="1576"/>
      <c r="G75" s="1230"/>
      <c r="H75" s="1230"/>
      <c r="I75" s="1615">
        <f>I76</f>
        <v>151.351</v>
      </c>
      <c r="J75" s="1520">
        <f>J76</f>
        <v>158.91855</v>
      </c>
      <c r="K75" s="1521">
        <f>K76</f>
        <v>166.86447750000002</v>
      </c>
    </row>
    <row r="76" spans="1:11" ht="22.5">
      <c r="A76" s="1279" t="s">
        <v>147</v>
      </c>
      <c r="B76" s="1331" t="str">
        <f>'Бюд.р.'!A283</f>
        <v>Прочая закупка товаров, работ и услуг для муниципальных нужд</v>
      </c>
      <c r="C76" s="1352">
        <v>968</v>
      </c>
      <c r="D76" s="1215">
        <v>309</v>
      </c>
      <c r="E76" s="1215" t="s">
        <v>1020</v>
      </c>
      <c r="F76" s="1420">
        <f>'Бюд.р.'!F283</f>
        <v>244</v>
      </c>
      <c r="G76" s="1215"/>
      <c r="H76" s="1215"/>
      <c r="I76" s="1609">
        <f>'Бюд.р.'!H283</f>
        <v>151.351</v>
      </c>
      <c r="J76" s="1504">
        <f>I76*1.05</f>
        <v>158.91855</v>
      </c>
      <c r="K76" s="1505">
        <f>J76*1.05</f>
        <v>166.86447750000002</v>
      </c>
    </row>
    <row r="77" spans="1:11" ht="78.75">
      <c r="A77" s="1280" t="s">
        <v>782</v>
      </c>
      <c r="B77" s="1335" t="s">
        <v>1017</v>
      </c>
      <c r="C77" s="1254">
        <v>968</v>
      </c>
      <c r="D77" s="1230">
        <v>309</v>
      </c>
      <c r="E77" s="1230" t="str">
        <f>E78</f>
        <v>795 05 00</v>
      </c>
      <c r="F77" s="1563"/>
      <c r="G77" s="1227"/>
      <c r="H77" s="1227"/>
      <c r="I77" s="1606">
        <f>I78</f>
        <v>125</v>
      </c>
      <c r="J77" s="1502">
        <f>J78</f>
        <v>131.25</v>
      </c>
      <c r="K77" s="1503">
        <f>K78</f>
        <v>137.8125</v>
      </c>
    </row>
    <row r="78" spans="1:11" ht="23.25" thickBot="1">
      <c r="A78" s="1285" t="s">
        <v>6</v>
      </c>
      <c r="B78" s="1331" t="str">
        <f>'Бюд.р.'!A304</f>
        <v>Прочая закупка товаров, работ и услуг для муниципальных нужд</v>
      </c>
      <c r="C78" s="1243" t="s">
        <v>631</v>
      </c>
      <c r="D78" s="1244" t="s">
        <v>419</v>
      </c>
      <c r="E78" s="1244" t="s">
        <v>11</v>
      </c>
      <c r="F78" s="1577">
        <f>'Бюд.р.'!F304</f>
        <v>244</v>
      </c>
      <c r="G78" s="1193"/>
      <c r="H78" s="1193"/>
      <c r="I78" s="1616">
        <f>'Бюд.р.'!H304</f>
        <v>125</v>
      </c>
      <c r="J78" s="1504">
        <f>I78*1.05</f>
        <v>131.25</v>
      </c>
      <c r="K78" s="1505">
        <f>J78*1.05</f>
        <v>137.8125</v>
      </c>
    </row>
    <row r="79" spans="1:11" ht="13.5" thickBot="1">
      <c r="A79" s="1379" t="s">
        <v>675</v>
      </c>
      <c r="B79" s="1453" t="s">
        <v>887</v>
      </c>
      <c r="C79" s="1380" t="s">
        <v>631</v>
      </c>
      <c r="D79" s="1381" t="s">
        <v>899</v>
      </c>
      <c r="E79" s="1381"/>
      <c r="F79" s="1573"/>
      <c r="G79" s="1631"/>
      <c r="H79" s="1631"/>
      <c r="I79" s="1604">
        <f>I80++I83+I86</f>
        <v>186.5</v>
      </c>
      <c r="J79" s="1498">
        <f>J80++J83+J86</f>
        <v>195.82500000000002</v>
      </c>
      <c r="K79" s="1499">
        <f>K80++K83+K86</f>
        <v>205.61625000000004</v>
      </c>
    </row>
    <row r="80" spans="1:11" ht="12.75">
      <c r="A80" s="1382" t="s">
        <v>328</v>
      </c>
      <c r="B80" s="1392" t="s">
        <v>934</v>
      </c>
      <c r="C80" s="1383">
        <v>968</v>
      </c>
      <c r="D80" s="1384">
        <v>401</v>
      </c>
      <c r="E80" s="1384"/>
      <c r="F80" s="1562"/>
      <c r="G80" s="1387"/>
      <c r="H80" s="1387"/>
      <c r="I80" s="1605">
        <f aca="true" t="shared" si="3" ref="I80:K81">I81</f>
        <v>166.5</v>
      </c>
      <c r="J80" s="1500">
        <f t="shared" si="3"/>
        <v>174.82500000000002</v>
      </c>
      <c r="K80" s="1501">
        <f t="shared" si="3"/>
        <v>183.56625000000003</v>
      </c>
    </row>
    <row r="81" spans="1:11" ht="45">
      <c r="A81" s="1280" t="s">
        <v>107</v>
      </c>
      <c r="B81" s="1335" t="s">
        <v>1012</v>
      </c>
      <c r="C81" s="1254">
        <v>968</v>
      </c>
      <c r="D81" s="1230">
        <v>401</v>
      </c>
      <c r="E81" s="1230" t="s">
        <v>935</v>
      </c>
      <c r="F81" s="1417"/>
      <c r="G81" s="1230"/>
      <c r="H81" s="1230"/>
      <c r="I81" s="1606">
        <f t="shared" si="3"/>
        <v>166.5</v>
      </c>
      <c r="J81" s="1502">
        <f t="shared" si="3"/>
        <v>174.82500000000002</v>
      </c>
      <c r="K81" s="1503">
        <f t="shared" si="3"/>
        <v>183.56625000000003</v>
      </c>
    </row>
    <row r="82" spans="1:11" ht="67.5">
      <c r="A82" s="1286" t="s">
        <v>1094</v>
      </c>
      <c r="B82" s="1331" t="s">
        <v>990</v>
      </c>
      <c r="C82" s="1352">
        <v>968</v>
      </c>
      <c r="D82" s="1215">
        <v>401</v>
      </c>
      <c r="E82" s="1215" t="s">
        <v>935</v>
      </c>
      <c r="F82" s="1420">
        <v>810</v>
      </c>
      <c r="G82" s="1215"/>
      <c r="H82" s="1215"/>
      <c r="I82" s="1609">
        <f>'Бюд.р.'!H312</f>
        <v>166.5</v>
      </c>
      <c r="J82" s="1504">
        <f>I82*1.05</f>
        <v>174.82500000000002</v>
      </c>
      <c r="K82" s="1505">
        <f>J82*1.05</f>
        <v>183.56625000000003</v>
      </c>
    </row>
    <row r="83" spans="1:11" ht="12.75">
      <c r="A83" s="1382" t="s">
        <v>784</v>
      </c>
      <c r="B83" s="1392" t="s">
        <v>1049</v>
      </c>
      <c r="C83" s="1383">
        <v>968</v>
      </c>
      <c r="D83" s="1384">
        <v>410</v>
      </c>
      <c r="E83" s="1384"/>
      <c r="F83" s="1562"/>
      <c r="G83" s="1387"/>
      <c r="H83" s="1387"/>
      <c r="I83" s="1605">
        <f>I84</f>
        <v>0</v>
      </c>
      <c r="J83" s="1508"/>
      <c r="K83" s="1509"/>
    </row>
    <row r="84" spans="1:11" ht="22.5">
      <c r="A84" s="1280" t="s">
        <v>100</v>
      </c>
      <c r="B84" s="1335" t="s">
        <v>1051</v>
      </c>
      <c r="C84" s="1254">
        <v>968</v>
      </c>
      <c r="D84" s="1230">
        <v>410</v>
      </c>
      <c r="E84" s="1230" t="s">
        <v>1048</v>
      </c>
      <c r="F84" s="1417"/>
      <c r="G84" s="1230"/>
      <c r="H84" s="1230"/>
      <c r="I84" s="1606">
        <f>I85</f>
        <v>0</v>
      </c>
      <c r="J84" s="1508"/>
      <c r="K84" s="1509"/>
    </row>
    <row r="85" spans="1:11" ht="22.5">
      <c r="A85" s="1286" t="s">
        <v>936</v>
      </c>
      <c r="B85" s="1331" t="s">
        <v>988</v>
      </c>
      <c r="C85" s="1352">
        <v>968</v>
      </c>
      <c r="D85" s="1215">
        <v>410</v>
      </c>
      <c r="E85" s="1215" t="s">
        <v>1048</v>
      </c>
      <c r="F85" s="1420">
        <v>240</v>
      </c>
      <c r="G85" s="1215"/>
      <c r="H85" s="1215"/>
      <c r="I85" s="1609">
        <f>'Бюд.р.'!G312</f>
        <v>0</v>
      </c>
      <c r="J85" s="1508"/>
      <c r="K85" s="1509"/>
    </row>
    <row r="86" spans="1:11" ht="22.5">
      <c r="A86" s="1382">
        <v>8</v>
      </c>
      <c r="B86" s="1459" t="s">
        <v>888</v>
      </c>
      <c r="C86" s="1383" t="s">
        <v>631</v>
      </c>
      <c r="D86" s="1384" t="s">
        <v>898</v>
      </c>
      <c r="E86" s="1384"/>
      <c r="F86" s="1562"/>
      <c r="G86" s="1387"/>
      <c r="H86" s="1387"/>
      <c r="I86" s="1605">
        <f aca="true" t="shared" si="4" ref="I86:K87">I87</f>
        <v>20</v>
      </c>
      <c r="J86" s="1500">
        <f t="shared" si="4"/>
        <v>21</v>
      </c>
      <c r="K86" s="1501">
        <f t="shared" si="4"/>
        <v>22.05</v>
      </c>
    </row>
    <row r="87" spans="1:11" ht="45">
      <c r="A87" s="1280" t="s">
        <v>100</v>
      </c>
      <c r="B87" s="1335" t="s">
        <v>890</v>
      </c>
      <c r="C87" s="1254">
        <v>968</v>
      </c>
      <c r="D87" s="1230">
        <v>412</v>
      </c>
      <c r="E87" s="1230" t="s">
        <v>889</v>
      </c>
      <c r="F87" s="1417"/>
      <c r="G87" s="1230"/>
      <c r="H87" s="1230"/>
      <c r="I87" s="1606">
        <f t="shared" si="4"/>
        <v>20</v>
      </c>
      <c r="J87" s="1502">
        <f t="shared" si="4"/>
        <v>21</v>
      </c>
      <c r="K87" s="1503">
        <f t="shared" si="4"/>
        <v>22.05</v>
      </c>
    </row>
    <row r="88" spans="1:11" ht="23.25" thickBot="1">
      <c r="A88" s="1285" t="s">
        <v>1095</v>
      </c>
      <c r="B88" s="1331" t="str">
        <f>'Бюд.р.'!A323</f>
        <v>Прочая закупка товаров, работ и услуг для муниципальных нужд</v>
      </c>
      <c r="C88" s="1356">
        <v>968</v>
      </c>
      <c r="D88" s="1222">
        <v>412</v>
      </c>
      <c r="E88" s="1222" t="s">
        <v>889</v>
      </c>
      <c r="F88" s="1567">
        <f>'Бюд.р.'!F323</f>
        <v>244</v>
      </c>
      <c r="G88" s="1215"/>
      <c r="H88" s="1215"/>
      <c r="I88" s="1610">
        <f>'Бюд.р.'!H323</f>
        <v>20</v>
      </c>
      <c r="J88" s="1504">
        <f>I88*1.05</f>
        <v>21</v>
      </c>
      <c r="K88" s="1505">
        <f>J88*1.05</f>
        <v>22.05</v>
      </c>
    </row>
    <row r="89" spans="1:11" ht="23.25" thickBot="1">
      <c r="A89" s="1379" t="s">
        <v>676</v>
      </c>
      <c r="B89" s="1453" t="s">
        <v>264</v>
      </c>
      <c r="C89" s="1380" t="s">
        <v>631</v>
      </c>
      <c r="D89" s="1381" t="s">
        <v>405</v>
      </c>
      <c r="E89" s="1381"/>
      <c r="F89" s="1561"/>
      <c r="G89" s="1628"/>
      <c r="H89" s="1628"/>
      <c r="I89" s="1604">
        <f>I90</f>
        <v>50164.90299999999</v>
      </c>
      <c r="J89" s="1498">
        <f>J90</f>
        <v>52673.14814999999</v>
      </c>
      <c r="K89" s="1499">
        <f>K90</f>
        <v>55306.805557499996</v>
      </c>
    </row>
    <row r="90" spans="1:11" ht="12.75">
      <c r="A90" s="1382" t="s">
        <v>390</v>
      </c>
      <c r="B90" s="1454" t="s">
        <v>406</v>
      </c>
      <c r="C90" s="1383" t="s">
        <v>631</v>
      </c>
      <c r="D90" s="1384" t="s">
        <v>407</v>
      </c>
      <c r="E90" s="1384"/>
      <c r="F90" s="1562"/>
      <c r="G90" s="1387"/>
      <c r="H90" s="1387"/>
      <c r="I90" s="1605">
        <f>I91+I100+I107+I116</f>
        <v>50164.90299999999</v>
      </c>
      <c r="J90" s="1500">
        <f>J91+J100+J107+J116</f>
        <v>52673.14814999999</v>
      </c>
      <c r="K90" s="1501">
        <f>K91+K100+K107+K116</f>
        <v>55306.805557499996</v>
      </c>
    </row>
    <row r="91" spans="1:11" ht="33.75">
      <c r="A91" s="1366" t="s">
        <v>101</v>
      </c>
      <c r="B91" s="1462" t="s">
        <v>1034</v>
      </c>
      <c r="C91" s="1251" t="s">
        <v>631</v>
      </c>
      <c r="D91" s="1252" t="s">
        <v>407</v>
      </c>
      <c r="E91" s="1252" t="s">
        <v>408</v>
      </c>
      <c r="F91" s="1578"/>
      <c r="G91" s="1252"/>
      <c r="H91" s="1252"/>
      <c r="I91" s="1617">
        <f>I92+I94+I96+I98</f>
        <v>36121.721999999994</v>
      </c>
      <c r="J91" s="1522">
        <f>J92+J94+J96+J98</f>
        <v>37927.808099999995</v>
      </c>
      <c r="K91" s="1523">
        <f>K92+K94+K96+K98</f>
        <v>39824.198505</v>
      </c>
    </row>
    <row r="92" spans="1:11" ht="67.5">
      <c r="A92" s="1280" t="s">
        <v>102</v>
      </c>
      <c r="B92" s="1463" t="str">
        <f>'Бюд.р.'!A329</f>
        <v>ТЕКУЩИЙ РЕМОНТ ПРИДОМОВЫХ ТЕРРИТОРИЙ И ДВОРОВЫХ ТЕРРИТОРИЙ , ВКЛЮЧАЯ ПРОЕЗДЫ И ВЪЕЗДЫ,ПЕШЕХОДНЫЕ ДОРОЖКИ</v>
      </c>
      <c r="C92" s="1226" t="s">
        <v>631</v>
      </c>
      <c r="D92" s="1227" t="s">
        <v>407</v>
      </c>
      <c r="E92" s="1227" t="s">
        <v>410</v>
      </c>
      <c r="F92" s="1563"/>
      <c r="G92" s="1227"/>
      <c r="H92" s="1227"/>
      <c r="I92" s="1606">
        <f>SUM(I93:I93)</f>
        <v>32358.722999999998</v>
      </c>
      <c r="J92" s="1502">
        <f>SUM(J93:J93)</f>
        <v>33976.65915</v>
      </c>
      <c r="K92" s="1503">
        <f>SUM(K93:K93)</f>
        <v>35675.4921075</v>
      </c>
    </row>
    <row r="93" spans="1:11" ht="22.5">
      <c r="A93" s="1279" t="s">
        <v>937</v>
      </c>
      <c r="B93" s="1331" t="str">
        <f>'Бюд.р.'!A331</f>
        <v>Прочая закупка товаров, работ и услуг для муниципальных нужд</v>
      </c>
      <c r="C93" s="1192" t="s">
        <v>631</v>
      </c>
      <c r="D93" s="1193" t="s">
        <v>407</v>
      </c>
      <c r="E93" s="1193" t="s">
        <v>410</v>
      </c>
      <c r="F93" s="1564">
        <f>'Бюд.р.'!F331</f>
        <v>244</v>
      </c>
      <c r="G93" s="1193"/>
      <c r="H93" s="1193"/>
      <c r="I93" s="1607">
        <f>'Бюд.р.'!H331</f>
        <v>32358.722999999998</v>
      </c>
      <c r="J93" s="1504">
        <f>I93*1.05</f>
        <v>33976.65915</v>
      </c>
      <c r="K93" s="1505">
        <f>J93*1.05</f>
        <v>35675.4921075</v>
      </c>
    </row>
    <row r="94" spans="1:11" ht="45">
      <c r="A94" s="1280" t="s">
        <v>938</v>
      </c>
      <c r="B94" s="1463" t="s">
        <v>1035</v>
      </c>
      <c r="C94" s="1226" t="s">
        <v>631</v>
      </c>
      <c r="D94" s="1227" t="s">
        <v>407</v>
      </c>
      <c r="E94" s="1227" t="s">
        <v>411</v>
      </c>
      <c r="F94" s="1563"/>
      <c r="G94" s="1227"/>
      <c r="H94" s="1227"/>
      <c r="I94" s="1606">
        <f>I95</f>
        <v>473.057</v>
      </c>
      <c r="J94" s="1502">
        <f>J95</f>
        <v>496.70985</v>
      </c>
      <c r="K94" s="1503">
        <f>K95</f>
        <v>521.5453425000001</v>
      </c>
    </row>
    <row r="95" spans="1:11" ht="22.5">
      <c r="A95" s="1279" t="s">
        <v>939</v>
      </c>
      <c r="B95" s="1331" t="str">
        <f>'Бюд.р.'!A340</f>
        <v>Прочая закупка товаров, работ и услуг для муниципальных нужд</v>
      </c>
      <c r="C95" s="1192" t="s">
        <v>631</v>
      </c>
      <c r="D95" s="1193" t="s">
        <v>407</v>
      </c>
      <c r="E95" s="1193" t="s">
        <v>411</v>
      </c>
      <c r="F95" s="1564">
        <f>'Бюд.р.'!F340</f>
        <v>244</v>
      </c>
      <c r="G95" s="1193"/>
      <c r="H95" s="1193"/>
      <c r="I95" s="1607">
        <f>'Бюд.р.'!H340</f>
        <v>473.057</v>
      </c>
      <c r="J95" s="1504">
        <f>I95*1.05</f>
        <v>496.70985</v>
      </c>
      <c r="K95" s="1505">
        <f>J95*1.05</f>
        <v>521.5453425000001</v>
      </c>
    </row>
    <row r="96" spans="1:11" ht="22.5">
      <c r="A96" s="1280" t="s">
        <v>940</v>
      </c>
      <c r="B96" s="1455" t="s">
        <v>32</v>
      </c>
      <c r="C96" s="1226" t="s">
        <v>631</v>
      </c>
      <c r="D96" s="1227" t="s">
        <v>407</v>
      </c>
      <c r="E96" s="1227" t="s">
        <v>412</v>
      </c>
      <c r="F96" s="1563"/>
      <c r="G96" s="1227"/>
      <c r="H96" s="1227"/>
      <c r="I96" s="1606">
        <f>SUM(I97:I97)</f>
        <v>2616.2039999999997</v>
      </c>
      <c r="J96" s="1502">
        <f>SUM(J97:J97)</f>
        <v>2747.0141999999996</v>
      </c>
      <c r="K96" s="1503">
        <f>SUM(K97:K97)</f>
        <v>2884.36491</v>
      </c>
    </row>
    <row r="97" spans="1:11" ht="22.5">
      <c r="A97" s="1279" t="s">
        <v>941</v>
      </c>
      <c r="B97" s="1331" t="str">
        <f>'Бюд.р.'!A345</f>
        <v>Прочая закупка товаров, работ и услуг для муниципальных нужд</v>
      </c>
      <c r="C97" s="1192" t="s">
        <v>631</v>
      </c>
      <c r="D97" s="1193" t="s">
        <v>407</v>
      </c>
      <c r="E97" s="1193" t="s">
        <v>412</v>
      </c>
      <c r="F97" s="1564">
        <f>'Бюд.р.'!F345</f>
        <v>244</v>
      </c>
      <c r="G97" s="1193"/>
      <c r="H97" s="1193"/>
      <c r="I97" s="1607">
        <f>'Бюд.р.'!H345</f>
        <v>2616.2039999999997</v>
      </c>
      <c r="J97" s="1504">
        <f>I97*1.05</f>
        <v>2747.0141999999996</v>
      </c>
      <c r="K97" s="1505">
        <f>J97*1.05</f>
        <v>2884.36491</v>
      </c>
    </row>
    <row r="98" spans="1:11" ht="90">
      <c r="A98" s="1280" t="s">
        <v>1036</v>
      </c>
      <c r="B98" s="1455" t="s">
        <v>909</v>
      </c>
      <c r="C98" s="1226" t="s">
        <v>631</v>
      </c>
      <c r="D98" s="1227" t="s">
        <v>407</v>
      </c>
      <c r="E98" s="1227" t="s">
        <v>414</v>
      </c>
      <c r="F98" s="1563"/>
      <c r="G98" s="1227"/>
      <c r="H98" s="1227"/>
      <c r="I98" s="1606">
        <f>I99</f>
        <v>673.738</v>
      </c>
      <c r="J98" s="1502">
        <f>J99</f>
        <v>707.4249000000001</v>
      </c>
      <c r="K98" s="1503">
        <f>K99</f>
        <v>742.7961450000001</v>
      </c>
    </row>
    <row r="99" spans="1:11" ht="22.5">
      <c r="A99" s="1279" t="s">
        <v>1037</v>
      </c>
      <c r="B99" s="1331" t="str">
        <f>'Бюд.р.'!A356</f>
        <v>Прочая закупка товаров, работ и услуг для муниципальных нужд</v>
      </c>
      <c r="C99" s="1192" t="s">
        <v>631</v>
      </c>
      <c r="D99" s="1193" t="s">
        <v>407</v>
      </c>
      <c r="E99" s="1193" t="s">
        <v>414</v>
      </c>
      <c r="F99" s="1564">
        <f>'Бюд.р.'!F356</f>
        <v>244</v>
      </c>
      <c r="G99" s="1193"/>
      <c r="H99" s="1193"/>
      <c r="I99" s="1607">
        <f>'Бюд.р.'!H356</f>
        <v>673.738</v>
      </c>
      <c r="J99" s="1504">
        <f>I99*1.05</f>
        <v>707.4249000000001</v>
      </c>
      <c r="K99" s="1505">
        <f>J99*1.05</f>
        <v>742.7961450000001</v>
      </c>
    </row>
    <row r="100" spans="1:11" ht="45">
      <c r="A100" s="1367" t="s">
        <v>942</v>
      </c>
      <c r="B100" s="1462" t="s">
        <v>1023</v>
      </c>
      <c r="C100" s="1251" t="s">
        <v>631</v>
      </c>
      <c r="D100" s="1252" t="s">
        <v>407</v>
      </c>
      <c r="E100" s="1252" t="s">
        <v>418</v>
      </c>
      <c r="F100" s="1579"/>
      <c r="G100" s="1634"/>
      <c r="H100" s="1634"/>
      <c r="I100" s="1617">
        <f>I101+I103+I105</f>
        <v>350</v>
      </c>
      <c r="J100" s="1522">
        <f>J101+J103+J105</f>
        <v>367.5</v>
      </c>
      <c r="K100" s="1523">
        <f>K101+K103+K105</f>
        <v>385.875</v>
      </c>
    </row>
    <row r="101" spans="1:11" ht="33.75">
      <c r="A101" s="1280" t="s">
        <v>943</v>
      </c>
      <c r="B101" s="1455" t="s">
        <v>462</v>
      </c>
      <c r="C101" s="1226" t="s">
        <v>631</v>
      </c>
      <c r="D101" s="1227" t="s">
        <v>407</v>
      </c>
      <c r="E101" s="1227" t="s">
        <v>463</v>
      </c>
      <c r="F101" s="1563"/>
      <c r="G101" s="1227"/>
      <c r="H101" s="1227"/>
      <c r="I101" s="1606">
        <f>I102</f>
        <v>0</v>
      </c>
      <c r="J101" s="1502">
        <f>J102</f>
        <v>0</v>
      </c>
      <c r="K101" s="1503">
        <f>K102</f>
        <v>0</v>
      </c>
    </row>
    <row r="102" spans="1:11" ht="22.5">
      <c r="A102" s="1287" t="s">
        <v>944</v>
      </c>
      <c r="B102" s="1331" t="str">
        <f>'Бюд.р.'!A365</f>
        <v>Прочая закупка товаров, работ и услуг для муниципальных нужд</v>
      </c>
      <c r="C102" s="1192" t="s">
        <v>631</v>
      </c>
      <c r="D102" s="1193" t="s">
        <v>407</v>
      </c>
      <c r="E102" s="1193" t="s">
        <v>463</v>
      </c>
      <c r="F102" s="1564">
        <f>'Бюд.р.'!F365</f>
        <v>244</v>
      </c>
      <c r="G102" s="1193"/>
      <c r="H102" s="1193"/>
      <c r="I102" s="1607">
        <f>'Бюд.р.'!H365</f>
        <v>0</v>
      </c>
      <c r="J102" s="1504">
        <f>I102*1.05</f>
        <v>0</v>
      </c>
      <c r="K102" s="1505">
        <f>J102*1.05</f>
        <v>0</v>
      </c>
    </row>
    <row r="103" spans="1:11" ht="45">
      <c r="A103" s="1280" t="s">
        <v>945</v>
      </c>
      <c r="B103" s="1463" t="s">
        <v>464</v>
      </c>
      <c r="C103" s="1226" t="s">
        <v>631</v>
      </c>
      <c r="D103" s="1227" t="s">
        <v>407</v>
      </c>
      <c r="E103" s="1227" t="s">
        <v>395</v>
      </c>
      <c r="F103" s="1563"/>
      <c r="G103" s="1227"/>
      <c r="H103" s="1227"/>
      <c r="I103" s="1606">
        <f>I104</f>
        <v>0</v>
      </c>
      <c r="J103" s="1502">
        <f>J104</f>
        <v>0</v>
      </c>
      <c r="K103" s="1503">
        <f>K104</f>
        <v>0</v>
      </c>
    </row>
    <row r="104" spans="1:11" ht="22.5">
      <c r="A104" s="1287" t="s">
        <v>946</v>
      </c>
      <c r="B104" s="1331" t="str">
        <f>'Бюд.р.'!A371</f>
        <v>Прочая закупка товаров, работ и услуг для муниципальных нужд</v>
      </c>
      <c r="C104" s="1192" t="s">
        <v>631</v>
      </c>
      <c r="D104" s="1193" t="s">
        <v>407</v>
      </c>
      <c r="E104" s="1193" t="s">
        <v>395</v>
      </c>
      <c r="F104" s="1564">
        <f>'Бюд.р.'!F371</f>
        <v>244</v>
      </c>
      <c r="G104" s="1193"/>
      <c r="H104" s="1193"/>
      <c r="I104" s="1607">
        <f>'Бюд.р.'!H371</f>
        <v>0</v>
      </c>
      <c r="J104" s="1504">
        <f>I104*1.05</f>
        <v>0</v>
      </c>
      <c r="K104" s="1505">
        <f>J104*1.05</f>
        <v>0</v>
      </c>
    </row>
    <row r="105" spans="1:11" ht="33.75">
      <c r="A105" s="1291" t="s">
        <v>947</v>
      </c>
      <c r="B105" s="1463" t="s">
        <v>394</v>
      </c>
      <c r="C105" s="1226" t="s">
        <v>631</v>
      </c>
      <c r="D105" s="1227" t="s">
        <v>407</v>
      </c>
      <c r="E105" s="1227" t="s">
        <v>1024</v>
      </c>
      <c r="F105" s="1563"/>
      <c r="G105" s="1227"/>
      <c r="H105" s="1227"/>
      <c r="I105" s="1606">
        <f>I106</f>
        <v>350</v>
      </c>
      <c r="J105" s="1502">
        <f>J106</f>
        <v>367.5</v>
      </c>
      <c r="K105" s="1503">
        <f>K106</f>
        <v>385.875</v>
      </c>
    </row>
    <row r="106" spans="1:11" ht="22.5">
      <c r="A106" s="1289" t="s">
        <v>948</v>
      </c>
      <c r="B106" s="1331" t="str">
        <f>'Бюд.р.'!A376</f>
        <v>Прочая закупка товаров, работ и услуг для муниципальных нужд</v>
      </c>
      <c r="C106" s="1192" t="s">
        <v>631</v>
      </c>
      <c r="D106" s="1193" t="s">
        <v>407</v>
      </c>
      <c r="E106" s="1193" t="s">
        <v>1024</v>
      </c>
      <c r="F106" s="1564">
        <f>'Бюд.р.'!F376</f>
        <v>244</v>
      </c>
      <c r="G106" s="1193"/>
      <c r="H106" s="1193"/>
      <c r="I106" s="1607">
        <f>'Бюд.р.'!H376</f>
        <v>350</v>
      </c>
      <c r="J106" s="1504">
        <f>I106*1.05</f>
        <v>367.5</v>
      </c>
      <c r="K106" s="1505">
        <f>J106*1.05</f>
        <v>385.875</v>
      </c>
    </row>
    <row r="107" spans="1:11" ht="33.75">
      <c r="A107" s="1367" t="s">
        <v>949</v>
      </c>
      <c r="B107" s="1464" t="s">
        <v>711</v>
      </c>
      <c r="C107" s="1251" t="s">
        <v>631</v>
      </c>
      <c r="D107" s="1252" t="s">
        <v>407</v>
      </c>
      <c r="E107" s="1252" t="s">
        <v>712</v>
      </c>
      <c r="F107" s="1580"/>
      <c r="G107" s="1635"/>
      <c r="H107" s="1635"/>
      <c r="I107" s="1617">
        <f>I108+I110+I114+I112</f>
        <v>8005.506</v>
      </c>
      <c r="J107" s="1522">
        <f>J108+J110+J114+J112</f>
        <v>8405.7813</v>
      </c>
      <c r="K107" s="1523">
        <f>K108+K110+K114+K112</f>
        <v>8826.070365000001</v>
      </c>
    </row>
    <row r="108" spans="1:11" ht="45">
      <c r="A108" s="1291" t="s">
        <v>950</v>
      </c>
      <c r="B108" s="1335" t="s">
        <v>1025</v>
      </c>
      <c r="C108" s="1226" t="s">
        <v>631</v>
      </c>
      <c r="D108" s="1227" t="s">
        <v>407</v>
      </c>
      <c r="E108" s="1227" t="s">
        <v>709</v>
      </c>
      <c r="F108" s="1563"/>
      <c r="G108" s="1227"/>
      <c r="H108" s="1227"/>
      <c r="I108" s="1606">
        <f>SUM(I109:I109)</f>
        <v>7555.506</v>
      </c>
      <c r="J108" s="1502">
        <f>SUM(J109:J109)</f>
        <v>7933.281300000001</v>
      </c>
      <c r="K108" s="1503">
        <f>SUM(K109:K109)</f>
        <v>8329.945365000001</v>
      </c>
    </row>
    <row r="109" spans="1:11" ht="22.5">
      <c r="A109" s="1289" t="s">
        <v>951</v>
      </c>
      <c r="B109" s="1331" t="str">
        <f>'Бюд.р.'!A385</f>
        <v>Прочая закупка товаров, работ и услуг для муниципальных нужд</v>
      </c>
      <c r="C109" s="1192" t="s">
        <v>631</v>
      </c>
      <c r="D109" s="1193" t="s">
        <v>407</v>
      </c>
      <c r="E109" s="1193" t="s">
        <v>709</v>
      </c>
      <c r="F109" s="1564">
        <f>'Бюд.р.'!F385</f>
        <v>244</v>
      </c>
      <c r="G109" s="1193"/>
      <c r="H109" s="1193"/>
      <c r="I109" s="1607">
        <f>'Бюд.р.'!H385</f>
        <v>7555.506</v>
      </c>
      <c r="J109" s="1504">
        <f>I109*1.05</f>
        <v>7933.281300000001</v>
      </c>
      <c r="K109" s="1505">
        <f>J109*1.05</f>
        <v>8329.945365000001</v>
      </c>
    </row>
    <row r="110" spans="1:11" ht="33.75">
      <c r="A110" s="1280" t="s">
        <v>952</v>
      </c>
      <c r="B110" s="1335" t="s">
        <v>1026</v>
      </c>
      <c r="C110" s="1226" t="s">
        <v>631</v>
      </c>
      <c r="D110" s="1227" t="s">
        <v>407</v>
      </c>
      <c r="E110" s="1227" t="s">
        <v>713</v>
      </c>
      <c r="F110" s="1563"/>
      <c r="G110" s="1227"/>
      <c r="H110" s="1227"/>
      <c r="I110" s="1606">
        <f>I111</f>
        <v>300</v>
      </c>
      <c r="J110" s="1502">
        <f>J111</f>
        <v>315</v>
      </c>
      <c r="K110" s="1503">
        <f>K111</f>
        <v>330.75</v>
      </c>
    </row>
    <row r="111" spans="1:11" ht="22.5">
      <c r="A111" s="1287" t="s">
        <v>953</v>
      </c>
      <c r="B111" s="1331" t="str">
        <f>'Бюд.р.'!A395</f>
        <v>Прочая закупка товаров, работ и услуг для муниципальных нужд</v>
      </c>
      <c r="C111" s="1192" t="s">
        <v>631</v>
      </c>
      <c r="D111" s="1193" t="s">
        <v>407</v>
      </c>
      <c r="E111" s="1193" t="s">
        <v>713</v>
      </c>
      <c r="F111" s="1564">
        <f>'Бюд.р.'!F395</f>
        <v>244</v>
      </c>
      <c r="G111" s="1193"/>
      <c r="H111" s="1193"/>
      <c r="I111" s="1607">
        <f>'Бюд.р.'!H395</f>
        <v>300</v>
      </c>
      <c r="J111" s="1504">
        <f>I111*1.05</f>
        <v>315</v>
      </c>
      <c r="K111" s="1505">
        <f>J111*1.05</f>
        <v>330.75</v>
      </c>
    </row>
    <row r="112" spans="1:11" ht="78.75">
      <c r="A112" s="1291" t="s">
        <v>954</v>
      </c>
      <c r="B112" s="1335" t="s">
        <v>1045</v>
      </c>
      <c r="C112" s="1254">
        <v>968</v>
      </c>
      <c r="D112" s="1230">
        <v>503</v>
      </c>
      <c r="E112" s="1230" t="str">
        <f>E113</f>
        <v>600 03 04</v>
      </c>
      <c r="F112" s="1581"/>
      <c r="G112" s="1193"/>
      <c r="H112" s="1193"/>
      <c r="I112" s="1607">
        <f>I113</f>
        <v>0</v>
      </c>
      <c r="J112" s="1512">
        <f>J113</f>
        <v>0</v>
      </c>
      <c r="K112" s="1513">
        <f>K113</f>
        <v>0</v>
      </c>
    </row>
    <row r="113" spans="1:11" ht="22.5">
      <c r="A113" s="1287" t="s">
        <v>955</v>
      </c>
      <c r="B113" s="1331" t="str">
        <f>'Бюд.р.'!A402</f>
        <v>Прочая закупка товаров, работ и услуг для муниципальных нужд</v>
      </c>
      <c r="C113" s="1192" t="s">
        <v>631</v>
      </c>
      <c r="D113" s="1193" t="s">
        <v>407</v>
      </c>
      <c r="E113" s="1193" t="s">
        <v>1044</v>
      </c>
      <c r="F113" s="1564">
        <f>'Бюд.р.'!F402</f>
        <v>244</v>
      </c>
      <c r="G113" s="1193"/>
      <c r="H113" s="1193"/>
      <c r="I113" s="1607">
        <f>'Бюд.р.'!H402</f>
        <v>0</v>
      </c>
      <c r="J113" s="1504">
        <f>I113*1.05</f>
        <v>0</v>
      </c>
      <c r="K113" s="1505">
        <f>J113*1.05</f>
        <v>0</v>
      </c>
    </row>
    <row r="114" spans="1:11" ht="45">
      <c r="A114" s="1291" t="s">
        <v>1046</v>
      </c>
      <c r="B114" s="1335" t="s">
        <v>1028</v>
      </c>
      <c r="C114" s="1254">
        <v>968</v>
      </c>
      <c r="D114" s="1230">
        <v>503</v>
      </c>
      <c r="E114" s="1230" t="str">
        <f>E115</f>
        <v>600 03 05</v>
      </c>
      <c r="F114" s="1582"/>
      <c r="G114" s="1260"/>
      <c r="H114" s="1260"/>
      <c r="I114" s="1606">
        <f>I115</f>
        <v>150</v>
      </c>
      <c r="J114" s="1502">
        <f>J115</f>
        <v>157.5</v>
      </c>
      <c r="K114" s="1503">
        <f>K115</f>
        <v>165.375</v>
      </c>
    </row>
    <row r="115" spans="1:11" ht="22.5">
      <c r="A115" s="1287" t="s">
        <v>1047</v>
      </c>
      <c r="B115" s="1331" t="str">
        <f>'Бюд.р.'!A407</f>
        <v>Прочая закупка товаров, работ и услуг для муниципальных нужд</v>
      </c>
      <c r="C115" s="1192" t="s">
        <v>631</v>
      </c>
      <c r="D115" s="1193" t="s">
        <v>407</v>
      </c>
      <c r="E115" s="1193" t="s">
        <v>1027</v>
      </c>
      <c r="F115" s="1564">
        <f>'Бюд.р.'!F407</f>
        <v>244</v>
      </c>
      <c r="G115" s="1193"/>
      <c r="H115" s="1193"/>
      <c r="I115" s="1607">
        <f>'Бюд.р.'!H407</f>
        <v>150</v>
      </c>
      <c r="J115" s="1504">
        <f>I115*1.05</f>
        <v>157.5</v>
      </c>
      <c r="K115" s="1505">
        <f>J115*1.05</f>
        <v>165.375</v>
      </c>
    </row>
    <row r="116" spans="1:11" ht="22.5">
      <c r="A116" s="1367" t="s">
        <v>956</v>
      </c>
      <c r="B116" s="1464" t="s">
        <v>1029</v>
      </c>
      <c r="C116" s="1251" t="s">
        <v>631</v>
      </c>
      <c r="D116" s="1252" t="s">
        <v>407</v>
      </c>
      <c r="E116" s="1252" t="s">
        <v>714</v>
      </c>
      <c r="F116" s="1583"/>
      <c r="G116" s="1636"/>
      <c r="H116" s="1636"/>
      <c r="I116" s="1617">
        <f>I117+I119+I121</f>
        <v>5687.674999999999</v>
      </c>
      <c r="J116" s="1522">
        <f>J117+J119+J121</f>
        <v>5972.058749999999</v>
      </c>
      <c r="K116" s="1523">
        <f>K117+K119+K121</f>
        <v>6270.661687499999</v>
      </c>
    </row>
    <row r="117" spans="1:11" ht="56.25">
      <c r="A117" s="1291" t="s">
        <v>957</v>
      </c>
      <c r="B117" s="1335" t="s">
        <v>1030</v>
      </c>
      <c r="C117" s="1226" t="s">
        <v>631</v>
      </c>
      <c r="D117" s="1227" t="s">
        <v>407</v>
      </c>
      <c r="E117" s="1227" t="s">
        <v>715</v>
      </c>
      <c r="F117" s="1582"/>
      <c r="G117" s="1260"/>
      <c r="H117" s="1260"/>
      <c r="I117" s="1606">
        <f>I118</f>
        <v>4248.240999999999</v>
      </c>
      <c r="J117" s="1502">
        <f>J118</f>
        <v>4460.653049999999</v>
      </c>
      <c r="K117" s="1503">
        <f>K118</f>
        <v>4683.685702499999</v>
      </c>
    </row>
    <row r="118" spans="1:11" ht="22.5">
      <c r="A118" s="1287" t="s">
        <v>958</v>
      </c>
      <c r="B118" s="1331" t="str">
        <f>'Бюд.р.'!A413</f>
        <v>Прочая закупка товаров, работ и услуг для муниципальных нужд</v>
      </c>
      <c r="C118" s="1192" t="s">
        <v>631</v>
      </c>
      <c r="D118" s="1193" t="s">
        <v>407</v>
      </c>
      <c r="E118" s="1193" t="s">
        <v>715</v>
      </c>
      <c r="F118" s="1564">
        <f>'Бюд.р.'!F413</f>
        <v>244</v>
      </c>
      <c r="G118" s="1193"/>
      <c r="H118" s="1193"/>
      <c r="I118" s="1607">
        <f>'Бюд.р.'!H413</f>
        <v>4248.240999999999</v>
      </c>
      <c r="J118" s="1504">
        <f>I118*1.05</f>
        <v>4460.653049999999</v>
      </c>
      <c r="K118" s="1505">
        <f>J118*1.05</f>
        <v>4683.685702499999</v>
      </c>
    </row>
    <row r="119" spans="1:11" ht="33.75">
      <c r="A119" s="1291" t="s">
        <v>959</v>
      </c>
      <c r="B119" s="1335" t="s">
        <v>1031</v>
      </c>
      <c r="C119" s="1226" t="s">
        <v>631</v>
      </c>
      <c r="D119" s="1227" t="s">
        <v>407</v>
      </c>
      <c r="E119" s="1227" t="s">
        <v>730</v>
      </c>
      <c r="F119" s="1582"/>
      <c r="G119" s="1260"/>
      <c r="H119" s="1260"/>
      <c r="I119" s="1606">
        <f>I120</f>
        <v>1439.434</v>
      </c>
      <c r="J119" s="1502">
        <f>J120</f>
        <v>1511.4057</v>
      </c>
      <c r="K119" s="1503">
        <f>K120</f>
        <v>1586.975985</v>
      </c>
    </row>
    <row r="120" spans="1:11" ht="22.5">
      <c r="A120" s="1287" t="s">
        <v>960</v>
      </c>
      <c r="B120" s="1331" t="str">
        <f>'Бюд.р.'!A421</f>
        <v>Прочая закупка товаров, работ и услуг для муниципальных нужд</v>
      </c>
      <c r="C120" s="1192" t="s">
        <v>631</v>
      </c>
      <c r="D120" s="1193" t="s">
        <v>407</v>
      </c>
      <c r="E120" s="1193" t="s">
        <v>730</v>
      </c>
      <c r="F120" s="1564">
        <f>'Бюд.р.'!F421</f>
        <v>244</v>
      </c>
      <c r="G120" s="1193"/>
      <c r="H120" s="1193"/>
      <c r="I120" s="1607">
        <f>'Бюд.р.'!H421</f>
        <v>1439.434</v>
      </c>
      <c r="J120" s="1504">
        <f>I120*1.05</f>
        <v>1511.4057</v>
      </c>
      <c r="K120" s="1505">
        <f>J120*1.05</f>
        <v>1586.975985</v>
      </c>
    </row>
    <row r="121" spans="1:11" ht="56.25">
      <c r="A121" s="1291" t="s">
        <v>1038</v>
      </c>
      <c r="B121" s="1463" t="s">
        <v>142</v>
      </c>
      <c r="C121" s="1226" t="s">
        <v>631</v>
      </c>
      <c r="D121" s="1227" t="s">
        <v>407</v>
      </c>
      <c r="E121" s="1227" t="s">
        <v>895</v>
      </c>
      <c r="F121" s="1582"/>
      <c r="G121" s="1260"/>
      <c r="H121" s="1260"/>
      <c r="I121" s="1606">
        <f>I122</f>
        <v>0</v>
      </c>
      <c r="J121" s="1502">
        <f>J122</f>
        <v>0</v>
      </c>
      <c r="K121" s="1503">
        <f>K122</f>
        <v>0</v>
      </c>
    </row>
    <row r="122" spans="1:11" ht="23.25" thickBot="1">
      <c r="A122" s="1287" t="s">
        <v>1039</v>
      </c>
      <c r="B122" s="1331" t="str">
        <f>'Бюд.р.'!A426</f>
        <v>Прочая закупка товаров, работ и услуг для муниципальных нужд</v>
      </c>
      <c r="C122" s="1192" t="s">
        <v>631</v>
      </c>
      <c r="D122" s="1193" t="s">
        <v>407</v>
      </c>
      <c r="E122" s="1193" t="s">
        <v>895</v>
      </c>
      <c r="F122" s="1564">
        <f>'Бюд.р.'!F426</f>
        <v>244</v>
      </c>
      <c r="G122" s="1193"/>
      <c r="H122" s="1193"/>
      <c r="I122" s="1607">
        <f>'Бюд.р.'!H426</f>
        <v>0</v>
      </c>
      <c r="J122" s="1504">
        <f>I122*1.05</f>
        <v>0</v>
      </c>
      <c r="K122" s="1505">
        <f>J122*1.05</f>
        <v>0</v>
      </c>
    </row>
    <row r="123" spans="1:11" ht="13.5" thickBot="1">
      <c r="A123" s="1393" t="s">
        <v>677</v>
      </c>
      <c r="B123" s="1453" t="s">
        <v>733</v>
      </c>
      <c r="C123" s="1380" t="s">
        <v>631</v>
      </c>
      <c r="D123" s="1381" t="s">
        <v>734</v>
      </c>
      <c r="E123" s="1394"/>
      <c r="F123" s="1584"/>
      <c r="G123" s="1637"/>
      <c r="H123" s="1637"/>
      <c r="I123" s="1604">
        <f aca="true" t="shared" si="5" ref="I123:K125">I124</f>
        <v>0</v>
      </c>
      <c r="J123" s="1498">
        <f t="shared" si="5"/>
        <v>0</v>
      </c>
      <c r="K123" s="1499">
        <f t="shared" si="5"/>
        <v>0</v>
      </c>
    </row>
    <row r="124" spans="1:11" ht="22.5">
      <c r="A124" s="1395" t="s">
        <v>391</v>
      </c>
      <c r="B124" s="1454" t="s">
        <v>736</v>
      </c>
      <c r="C124" s="1383" t="s">
        <v>631</v>
      </c>
      <c r="D124" s="1384" t="s">
        <v>735</v>
      </c>
      <c r="E124" s="1391"/>
      <c r="F124" s="1574"/>
      <c r="G124" s="1632"/>
      <c r="H124" s="1632"/>
      <c r="I124" s="1605">
        <f t="shared" si="5"/>
        <v>0</v>
      </c>
      <c r="J124" s="1500">
        <f t="shared" si="5"/>
        <v>0</v>
      </c>
      <c r="K124" s="1501">
        <f t="shared" si="5"/>
        <v>0</v>
      </c>
    </row>
    <row r="125" spans="1:11" ht="45">
      <c r="A125" s="1291" t="s">
        <v>7</v>
      </c>
      <c r="B125" s="1465" t="s">
        <v>737</v>
      </c>
      <c r="C125" s="1226" t="s">
        <v>631</v>
      </c>
      <c r="D125" s="1227" t="s">
        <v>735</v>
      </c>
      <c r="E125" s="1227" t="s">
        <v>738</v>
      </c>
      <c r="F125" s="1585"/>
      <c r="G125" s="1227"/>
      <c r="H125" s="1227"/>
      <c r="I125" s="1606">
        <f t="shared" si="5"/>
        <v>0</v>
      </c>
      <c r="J125" s="1502">
        <f t="shared" si="5"/>
        <v>0</v>
      </c>
      <c r="K125" s="1503">
        <f t="shared" si="5"/>
        <v>0</v>
      </c>
    </row>
    <row r="126" spans="1:11" ht="23.25" thickBot="1">
      <c r="A126" s="1290" t="s">
        <v>8</v>
      </c>
      <c r="B126" s="1331" t="str">
        <f>'Бюд.р.'!A436</f>
        <v>Прочая закупка товаров, работ и услуг для муниципальных нужд</v>
      </c>
      <c r="C126" s="1243" t="s">
        <v>631</v>
      </c>
      <c r="D126" s="1244" t="s">
        <v>735</v>
      </c>
      <c r="E126" s="1244" t="s">
        <v>738</v>
      </c>
      <c r="F126" s="1577">
        <f>'Бюд.р.'!F436</f>
        <v>244</v>
      </c>
      <c r="G126" s="1193"/>
      <c r="H126" s="1193"/>
      <c r="I126" s="1616">
        <f>'Бюд.р.'!H436</f>
        <v>0</v>
      </c>
      <c r="J126" s="1504">
        <f>I126*1.05</f>
        <v>0</v>
      </c>
      <c r="K126" s="1505">
        <f>J126*1.05</f>
        <v>0</v>
      </c>
    </row>
    <row r="127" spans="1:11" ht="13.5" thickBot="1">
      <c r="A127" s="1393" t="s">
        <v>678</v>
      </c>
      <c r="B127" s="1453" t="s">
        <v>271</v>
      </c>
      <c r="C127" s="1380" t="s">
        <v>631</v>
      </c>
      <c r="D127" s="1381" t="s">
        <v>379</v>
      </c>
      <c r="E127" s="1394"/>
      <c r="F127" s="1573"/>
      <c r="G127" s="1631"/>
      <c r="H127" s="1631"/>
      <c r="I127" s="1604">
        <f>I134+I139+I128</f>
        <v>3748.95</v>
      </c>
      <c r="J127" s="1498">
        <f>J134+J139+J128</f>
        <v>3936.3975</v>
      </c>
      <c r="K127" s="1499">
        <f>K134+K139+K128</f>
        <v>4133.217375</v>
      </c>
    </row>
    <row r="128" spans="1:11" ht="45">
      <c r="A128" s="1395" t="s">
        <v>103</v>
      </c>
      <c r="B128" s="1454" t="s">
        <v>1053</v>
      </c>
      <c r="C128" s="1383" t="s">
        <v>631</v>
      </c>
      <c r="D128" s="1384" t="s">
        <v>1054</v>
      </c>
      <c r="E128" s="1391"/>
      <c r="F128" s="1586"/>
      <c r="G128" s="1638"/>
      <c r="H128" s="1638"/>
      <c r="I128" s="1605">
        <f>I129</f>
        <v>255</v>
      </c>
      <c r="J128" s="1500">
        <f>J129</f>
        <v>267.75</v>
      </c>
      <c r="K128" s="1501">
        <f>K129</f>
        <v>281.13750000000005</v>
      </c>
    </row>
    <row r="129" spans="1:11" ht="112.5">
      <c r="A129" s="1291" t="s">
        <v>104</v>
      </c>
      <c r="B129" s="1455" t="s">
        <v>1061</v>
      </c>
      <c r="C129" s="1226" t="s">
        <v>631</v>
      </c>
      <c r="D129" s="1227" t="s">
        <v>1054</v>
      </c>
      <c r="E129" s="1227" t="str">
        <f>'Бюд.р.'!D442</f>
        <v>428 01 00</v>
      </c>
      <c r="F129" s="1563"/>
      <c r="G129" s="1227"/>
      <c r="H129" s="1227"/>
      <c r="I129" s="1606">
        <f>I130+I132</f>
        <v>255</v>
      </c>
      <c r="J129" s="1502">
        <f>J130+J132</f>
        <v>267.75</v>
      </c>
      <c r="K129" s="1503">
        <f>K130+K132</f>
        <v>281.13750000000005</v>
      </c>
    </row>
    <row r="130" spans="1:11" ht="78.75">
      <c r="A130" s="1410" t="s">
        <v>105</v>
      </c>
      <c r="B130" s="1455" t="s">
        <v>1064</v>
      </c>
      <c r="C130" s="1226" t="s">
        <v>631</v>
      </c>
      <c r="D130" s="1227" t="s">
        <v>1054</v>
      </c>
      <c r="E130" s="1227" t="str">
        <f>E131</f>
        <v>428 01 01</v>
      </c>
      <c r="F130" s="1563"/>
      <c r="G130" s="1227"/>
      <c r="H130" s="1227"/>
      <c r="I130" s="1606">
        <f>I131</f>
        <v>17</v>
      </c>
      <c r="J130" s="1502">
        <f>J131</f>
        <v>17.85</v>
      </c>
      <c r="K130" s="1503">
        <f>K131</f>
        <v>18.742500000000003</v>
      </c>
    </row>
    <row r="131" spans="1:11" ht="22.5">
      <c r="A131" s="1287" t="s">
        <v>1100</v>
      </c>
      <c r="B131" s="1331" t="str">
        <f>'Бюд.р.'!A445</f>
        <v>Прочая закупка товаров, работ и услуг для муниципальных нужд</v>
      </c>
      <c r="C131" s="1192" t="s">
        <v>631</v>
      </c>
      <c r="D131" s="1193">
        <v>705</v>
      </c>
      <c r="E131" s="1193" t="str">
        <f>'Бюд.р.'!D445</f>
        <v>428 01 01</v>
      </c>
      <c r="F131" s="1564">
        <f>'Бюд.р.'!F445</f>
        <v>244</v>
      </c>
      <c r="G131" s="1193"/>
      <c r="H131" s="1193"/>
      <c r="I131" s="1607">
        <f>'Бюд.р.'!H445</f>
        <v>17</v>
      </c>
      <c r="J131" s="1504">
        <f>I131*1.05</f>
        <v>17.85</v>
      </c>
      <c r="K131" s="1505">
        <f>J131*1.05</f>
        <v>18.742500000000003</v>
      </c>
    </row>
    <row r="132" spans="1:11" ht="45">
      <c r="A132" s="1411" t="s">
        <v>1101</v>
      </c>
      <c r="B132" s="1335" t="s">
        <v>1065</v>
      </c>
      <c r="C132" s="1226" t="s">
        <v>631</v>
      </c>
      <c r="D132" s="1227" t="s">
        <v>1054</v>
      </c>
      <c r="E132" s="1227" t="str">
        <f>E133</f>
        <v>428 01 02</v>
      </c>
      <c r="F132" s="1563"/>
      <c r="G132" s="1227"/>
      <c r="H132" s="1227"/>
      <c r="I132" s="1606">
        <f>I133</f>
        <v>238</v>
      </c>
      <c r="J132" s="1502">
        <f>J133</f>
        <v>249.9</v>
      </c>
      <c r="K132" s="1503">
        <f>K133</f>
        <v>262.39500000000004</v>
      </c>
    </row>
    <row r="133" spans="1:11" ht="22.5">
      <c r="A133" s="1287" t="s">
        <v>1102</v>
      </c>
      <c r="B133" s="1331" t="str">
        <f>'Бюд.р.'!A450</f>
        <v>Прочая закупка товаров, работ и услуг для муниципальных нужд</v>
      </c>
      <c r="C133" s="1192" t="s">
        <v>631</v>
      </c>
      <c r="D133" s="1193">
        <v>705</v>
      </c>
      <c r="E133" s="1193" t="str">
        <f>'Бюд.р.'!D450</f>
        <v>428 01 02</v>
      </c>
      <c r="F133" s="1564">
        <f>'Бюд.р.'!F450</f>
        <v>244</v>
      </c>
      <c r="G133" s="1193"/>
      <c r="H133" s="1193"/>
      <c r="I133" s="1607">
        <f>'Бюд.р.'!H450</f>
        <v>238</v>
      </c>
      <c r="J133" s="1504">
        <f>I133*1.05</f>
        <v>249.9</v>
      </c>
      <c r="K133" s="1505">
        <f>J133*1.05</f>
        <v>262.39500000000004</v>
      </c>
    </row>
    <row r="134" spans="1:11" ht="22.5">
      <c r="A134" s="1395" t="s">
        <v>1</v>
      </c>
      <c r="B134" s="1454" t="s">
        <v>378</v>
      </c>
      <c r="C134" s="1383" t="s">
        <v>631</v>
      </c>
      <c r="D134" s="1384" t="s">
        <v>380</v>
      </c>
      <c r="E134" s="1391"/>
      <c r="F134" s="1586"/>
      <c r="G134" s="1638"/>
      <c r="H134" s="1638"/>
      <c r="I134" s="1605">
        <f>I135+I137</f>
        <v>3357.45</v>
      </c>
      <c r="J134" s="1500">
        <f>J135+J137</f>
        <v>3525.3225</v>
      </c>
      <c r="K134" s="1501">
        <f>K135+K137</f>
        <v>3701.5886250000003</v>
      </c>
    </row>
    <row r="135" spans="1:11" ht="45">
      <c r="A135" s="1291" t="s">
        <v>2</v>
      </c>
      <c r="B135" s="1455" t="s">
        <v>1092</v>
      </c>
      <c r="C135" s="1226" t="s">
        <v>631</v>
      </c>
      <c r="D135" s="1227" t="s">
        <v>380</v>
      </c>
      <c r="E135" s="1227" t="s">
        <v>256</v>
      </c>
      <c r="F135" s="1563"/>
      <c r="G135" s="1227"/>
      <c r="H135" s="1227"/>
      <c r="I135" s="1606">
        <f>I136</f>
        <v>1545.45</v>
      </c>
      <c r="J135" s="1502">
        <f>J136</f>
        <v>1622.7225</v>
      </c>
      <c r="K135" s="1503">
        <f>K136</f>
        <v>1703.858625</v>
      </c>
    </row>
    <row r="136" spans="1:11" ht="22.5">
      <c r="A136" s="1287" t="s">
        <v>3</v>
      </c>
      <c r="B136" s="1331" t="str">
        <f>'Бюд.р.'!A467</f>
        <v>Прочая закупка товаров, работ и услуг для муниципальных нужд</v>
      </c>
      <c r="C136" s="1192" t="s">
        <v>631</v>
      </c>
      <c r="D136" s="1193" t="s">
        <v>380</v>
      </c>
      <c r="E136" s="1193" t="s">
        <v>256</v>
      </c>
      <c r="F136" s="1564">
        <f>'Бюд.р.'!F467</f>
        <v>244</v>
      </c>
      <c r="G136" s="1193"/>
      <c r="H136" s="1193"/>
      <c r="I136" s="1607">
        <f>'Бюд.р.'!H467</f>
        <v>1545.45</v>
      </c>
      <c r="J136" s="1504">
        <f>I136*1.05</f>
        <v>1622.7225</v>
      </c>
      <c r="K136" s="1505">
        <f>J136*1.05</f>
        <v>1703.858625</v>
      </c>
    </row>
    <row r="137" spans="1:11" ht="67.5">
      <c r="A137" s="1291" t="s">
        <v>972</v>
      </c>
      <c r="B137" s="1455" t="s">
        <v>382</v>
      </c>
      <c r="C137" s="1226" t="s">
        <v>631</v>
      </c>
      <c r="D137" s="1227" t="s">
        <v>380</v>
      </c>
      <c r="E137" s="1227" t="s">
        <v>257</v>
      </c>
      <c r="F137" s="1563"/>
      <c r="G137" s="1227"/>
      <c r="H137" s="1227"/>
      <c r="I137" s="1606">
        <f>I138</f>
        <v>1812</v>
      </c>
      <c r="J137" s="1502">
        <f>J138</f>
        <v>1902.6000000000001</v>
      </c>
      <c r="K137" s="1503">
        <f>K138</f>
        <v>1997.7300000000002</v>
      </c>
    </row>
    <row r="138" spans="1:11" ht="22.5">
      <c r="A138" s="1287" t="s">
        <v>973</v>
      </c>
      <c r="B138" s="1331" t="str">
        <f>'Бюд.р.'!A475</f>
        <v>Прочая закупка товаров, работ и услуг для муниципальных нужд</v>
      </c>
      <c r="C138" s="1192" t="s">
        <v>631</v>
      </c>
      <c r="D138" s="1193" t="s">
        <v>380</v>
      </c>
      <c r="E138" s="1193" t="s">
        <v>257</v>
      </c>
      <c r="F138" s="1564">
        <f>'Бюд.р.'!F475</f>
        <v>244</v>
      </c>
      <c r="G138" s="1193"/>
      <c r="H138" s="1193"/>
      <c r="I138" s="1607">
        <f>'Бюд.р.'!H475</f>
        <v>1812</v>
      </c>
      <c r="J138" s="1504">
        <f>I138*1.05</f>
        <v>1902.6000000000001</v>
      </c>
      <c r="K138" s="1505">
        <f>J138*1.05</f>
        <v>1997.7300000000002</v>
      </c>
    </row>
    <row r="139" spans="1:11" ht="22.5">
      <c r="A139" s="1396" t="s">
        <v>518</v>
      </c>
      <c r="B139" s="1466" t="s">
        <v>10</v>
      </c>
      <c r="C139" s="1386" t="s">
        <v>631</v>
      </c>
      <c r="D139" s="1387" t="s">
        <v>14</v>
      </c>
      <c r="E139" s="1391"/>
      <c r="F139" s="1587"/>
      <c r="G139" s="1638"/>
      <c r="H139" s="1638"/>
      <c r="I139" s="1608">
        <f>I140+I142</f>
        <v>136.5</v>
      </c>
      <c r="J139" s="1506">
        <f>J140+J142</f>
        <v>143.325</v>
      </c>
      <c r="K139" s="1507">
        <f>K140+K142</f>
        <v>150.49125</v>
      </c>
    </row>
    <row r="140" spans="1:11" ht="56.25">
      <c r="A140" s="1291" t="s">
        <v>521</v>
      </c>
      <c r="B140" s="1335" t="s">
        <v>1014</v>
      </c>
      <c r="C140" s="1226" t="s">
        <v>631</v>
      </c>
      <c r="D140" s="1227" t="s">
        <v>14</v>
      </c>
      <c r="E140" s="1227" t="s">
        <v>420</v>
      </c>
      <c r="F140" s="1563"/>
      <c r="G140" s="1227"/>
      <c r="H140" s="1227"/>
      <c r="I140" s="1606">
        <f>I141</f>
        <v>30</v>
      </c>
      <c r="J140" s="1502">
        <f>J141</f>
        <v>31.5</v>
      </c>
      <c r="K140" s="1503">
        <f>K141</f>
        <v>33.075</v>
      </c>
    </row>
    <row r="141" spans="1:11" ht="22.5">
      <c r="A141" s="1290" t="s">
        <v>522</v>
      </c>
      <c r="B141" s="1331" t="str">
        <f>'Бюд.р.'!A492</f>
        <v>Прочая закупка товаров, работ и услуг для муниципальных нужд</v>
      </c>
      <c r="C141" s="1243" t="s">
        <v>631</v>
      </c>
      <c r="D141" s="1244" t="s">
        <v>14</v>
      </c>
      <c r="E141" s="1244" t="s">
        <v>420</v>
      </c>
      <c r="F141" s="1577">
        <f>'Бюд.р.'!F492</f>
        <v>244</v>
      </c>
      <c r="G141" s="1193"/>
      <c r="H141" s="1193"/>
      <c r="I141" s="1616">
        <f>'Бюд.р.'!H492</f>
        <v>30</v>
      </c>
      <c r="J141" s="1504">
        <f>I141*1.05</f>
        <v>31.5</v>
      </c>
      <c r="K141" s="1505">
        <f>J141*1.05</f>
        <v>33.075</v>
      </c>
    </row>
    <row r="142" spans="1:11" ht="45">
      <c r="A142" s="1291" t="s">
        <v>907</v>
      </c>
      <c r="B142" s="1335" t="s">
        <v>1016</v>
      </c>
      <c r="C142" s="1226" t="s">
        <v>631</v>
      </c>
      <c r="D142" s="1227" t="s">
        <v>14</v>
      </c>
      <c r="E142" s="1227" t="s">
        <v>151</v>
      </c>
      <c r="F142" s="1563"/>
      <c r="G142" s="1227"/>
      <c r="H142" s="1227"/>
      <c r="I142" s="1606">
        <f>I143</f>
        <v>106.5</v>
      </c>
      <c r="J142" s="1502">
        <f>J143</f>
        <v>111.825</v>
      </c>
      <c r="K142" s="1503">
        <f>K143</f>
        <v>117.41625</v>
      </c>
    </row>
    <row r="143" spans="1:11" ht="23.25" thickBot="1">
      <c r="A143" s="1290" t="s">
        <v>908</v>
      </c>
      <c r="B143" s="1331" t="str">
        <f>'Бюд.р.'!A501</f>
        <v>Прочая закупка товаров, работ и услуг для муниципальных нужд</v>
      </c>
      <c r="C143" s="1243" t="s">
        <v>631</v>
      </c>
      <c r="D143" s="1244" t="s">
        <v>14</v>
      </c>
      <c r="E143" s="1244" t="s">
        <v>151</v>
      </c>
      <c r="F143" s="1577">
        <f>'Бюд.р.'!F501</f>
        <v>244</v>
      </c>
      <c r="G143" s="1193"/>
      <c r="H143" s="1193"/>
      <c r="I143" s="1616">
        <f>'Бюд.р.'!H501</f>
        <v>106.5</v>
      </c>
      <c r="J143" s="1504">
        <f>I143*1.05</f>
        <v>111.825</v>
      </c>
      <c r="K143" s="1505">
        <f>J143*1.05</f>
        <v>117.41625</v>
      </c>
    </row>
    <row r="144" spans="1:11" ht="13.5" thickBot="1">
      <c r="A144" s="1393" t="s">
        <v>465</v>
      </c>
      <c r="B144" s="1453" t="s">
        <v>910</v>
      </c>
      <c r="C144" s="1380" t="s">
        <v>631</v>
      </c>
      <c r="D144" s="1381" t="s">
        <v>383</v>
      </c>
      <c r="E144" s="1397"/>
      <c r="F144" s="1588"/>
      <c r="G144" s="1639"/>
      <c r="H144" s="1639"/>
      <c r="I144" s="1604" t="e">
        <f>I145</f>
        <v>#REF!</v>
      </c>
      <c r="J144" s="1498" t="e">
        <f>J145</f>
        <v>#REF!</v>
      </c>
      <c r="K144" s="1499" t="e">
        <f>K145</f>
        <v>#REF!</v>
      </c>
    </row>
    <row r="145" spans="1:11" ht="12.75">
      <c r="A145" s="1395" t="s">
        <v>519</v>
      </c>
      <c r="B145" s="1454" t="s">
        <v>691</v>
      </c>
      <c r="C145" s="1383" t="s">
        <v>631</v>
      </c>
      <c r="D145" s="1384" t="s">
        <v>384</v>
      </c>
      <c r="E145" s="1398"/>
      <c r="F145" s="1589"/>
      <c r="G145" s="1388"/>
      <c r="H145" s="1388"/>
      <c r="I145" s="1605" t="e">
        <f>I146+I148</f>
        <v>#REF!</v>
      </c>
      <c r="J145" s="1500" t="e">
        <f>J146+J148</f>
        <v>#REF!</v>
      </c>
      <c r="K145" s="1501" t="e">
        <f>K146+K148</f>
        <v>#REF!</v>
      </c>
    </row>
    <row r="146" spans="1:11" ht="56.25">
      <c r="A146" s="1291" t="s">
        <v>523</v>
      </c>
      <c r="B146" s="1463" t="s">
        <v>1041</v>
      </c>
      <c r="C146" s="1226" t="s">
        <v>631</v>
      </c>
      <c r="D146" s="1260" t="s">
        <v>384</v>
      </c>
      <c r="E146" s="1260" t="s">
        <v>1040</v>
      </c>
      <c r="F146" s="1590"/>
      <c r="G146" s="1260"/>
      <c r="H146" s="1260"/>
      <c r="I146" s="1606">
        <f>I147</f>
        <v>10822.586</v>
      </c>
      <c r="J146" s="1502">
        <f>J147</f>
        <v>11363.7153</v>
      </c>
      <c r="K146" s="1503">
        <f>K147</f>
        <v>11931.901065</v>
      </c>
    </row>
    <row r="147" spans="1:11" ht="22.5">
      <c r="A147" s="1290" t="s">
        <v>524</v>
      </c>
      <c r="B147" s="1331" t="str">
        <f>'Бюд.р.'!A509</f>
        <v>Прочая закупка товаров, работ и услуг для муниципальных нужд</v>
      </c>
      <c r="C147" s="1192" t="s">
        <v>631</v>
      </c>
      <c r="D147" s="1193" t="s">
        <v>384</v>
      </c>
      <c r="E147" s="1193" t="s">
        <v>1040</v>
      </c>
      <c r="F147" s="1564">
        <f>'Бюд.р.'!F509</f>
        <v>244</v>
      </c>
      <c r="G147" s="1193"/>
      <c r="H147" s="1193"/>
      <c r="I147" s="1607">
        <f>'Бюд.р.'!H509</f>
        <v>10822.586</v>
      </c>
      <c r="J147" s="1504">
        <f>I147*1.05</f>
        <v>11363.7153</v>
      </c>
      <c r="K147" s="1505">
        <f>J147*1.05</f>
        <v>11931.901065</v>
      </c>
    </row>
    <row r="148" spans="1:11" ht="45">
      <c r="A148" s="1291" t="s">
        <v>963</v>
      </c>
      <c r="B148" s="1335" t="s">
        <v>900</v>
      </c>
      <c r="C148" s="1254">
        <v>968</v>
      </c>
      <c r="D148" s="1230">
        <v>801</v>
      </c>
      <c r="E148" s="1230" t="str">
        <f>E149</f>
        <v>440 01 02</v>
      </c>
      <c r="F148" s="1417"/>
      <c r="G148" s="1230"/>
      <c r="H148" s="1230"/>
      <c r="I148" s="1606" t="e">
        <f>I149</f>
        <v>#REF!</v>
      </c>
      <c r="J148" s="1502" t="e">
        <f>J149</f>
        <v>#REF!</v>
      </c>
      <c r="K148" s="1503" t="e">
        <f>K149</f>
        <v>#REF!</v>
      </c>
    </row>
    <row r="149" spans="1:11" ht="13.5" thickBot="1">
      <c r="A149" s="1290" t="s">
        <v>964</v>
      </c>
      <c r="B149" s="1331" t="e">
        <f>'Бюд.р.'!#REF!</f>
        <v>#REF!</v>
      </c>
      <c r="C149" s="1356">
        <v>968</v>
      </c>
      <c r="D149" s="1222">
        <v>801</v>
      </c>
      <c r="E149" s="1222" t="s">
        <v>1042</v>
      </c>
      <c r="F149" s="1567" t="e">
        <f>'Бюд.р.'!#REF!</f>
        <v>#REF!</v>
      </c>
      <c r="G149" s="1215"/>
      <c r="H149" s="1215"/>
      <c r="I149" s="1610" t="e">
        <f>'Бюд.р.'!#REF!</f>
        <v>#REF!</v>
      </c>
      <c r="J149" s="1504" t="e">
        <f>I149*1.05</f>
        <v>#REF!</v>
      </c>
      <c r="K149" s="1505" t="e">
        <f>J149*1.05</f>
        <v>#REF!</v>
      </c>
    </row>
    <row r="150" spans="1:11" ht="13.5" thickBot="1">
      <c r="A150" s="1393" t="s">
        <v>143</v>
      </c>
      <c r="B150" s="1467" t="s">
        <v>272</v>
      </c>
      <c r="C150" s="1380" t="s">
        <v>631</v>
      </c>
      <c r="D150" s="1397" t="s">
        <v>323</v>
      </c>
      <c r="E150" s="1397"/>
      <c r="F150" s="1588"/>
      <c r="G150" s="1639"/>
      <c r="H150" s="1639"/>
      <c r="I150" s="1604">
        <f>I151+I154</f>
        <v>16946.9</v>
      </c>
      <c r="J150" s="1498">
        <f>J151+J154</f>
        <v>14791.800000000001</v>
      </c>
      <c r="K150" s="1499">
        <f>K151+K154</f>
        <v>15711.8</v>
      </c>
    </row>
    <row r="151" spans="1:11" ht="22.5">
      <c r="A151" s="1396" t="s">
        <v>33</v>
      </c>
      <c r="B151" s="1457" t="s">
        <v>967</v>
      </c>
      <c r="C151" s="1386" t="s">
        <v>631</v>
      </c>
      <c r="D151" s="1388" t="s">
        <v>971</v>
      </c>
      <c r="E151" s="1388"/>
      <c r="F151" s="1570"/>
      <c r="G151" s="1388"/>
      <c r="H151" s="1388"/>
      <c r="I151" s="1608">
        <f aca="true" t="shared" si="6" ref="I151:K152">I152</f>
        <v>970.2</v>
      </c>
      <c r="J151" s="1506">
        <f t="shared" si="6"/>
        <v>556.6</v>
      </c>
      <c r="K151" s="1507">
        <f t="shared" si="6"/>
        <v>584.4</v>
      </c>
    </row>
    <row r="152" spans="1:11" ht="67.5">
      <c r="A152" s="1291" t="s">
        <v>37</v>
      </c>
      <c r="B152" s="1335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152" s="1226" t="s">
        <v>631</v>
      </c>
      <c r="D152" s="1260" t="s">
        <v>971</v>
      </c>
      <c r="E152" s="1230" t="s">
        <v>969</v>
      </c>
      <c r="F152" s="1417"/>
      <c r="G152" s="1230"/>
      <c r="H152" s="1230"/>
      <c r="I152" s="1606">
        <f t="shared" si="6"/>
        <v>970.2</v>
      </c>
      <c r="J152" s="1502">
        <f t="shared" si="6"/>
        <v>556.6</v>
      </c>
      <c r="K152" s="1503">
        <f t="shared" si="6"/>
        <v>584.4</v>
      </c>
    </row>
    <row r="153" spans="1:11" ht="45">
      <c r="A153" s="1287" t="s">
        <v>38</v>
      </c>
      <c r="B153" s="1374" t="s">
        <v>1059</v>
      </c>
      <c r="C153" s="1192" t="s">
        <v>631</v>
      </c>
      <c r="D153" s="1263" t="s">
        <v>971</v>
      </c>
      <c r="E153" s="1421" t="s">
        <v>969</v>
      </c>
      <c r="F153" s="1566">
        <v>314</v>
      </c>
      <c r="G153" s="1373"/>
      <c r="H153" s="1373"/>
      <c r="I153" s="1607">
        <f>'Бюд.р.'!H531</f>
        <v>970.2</v>
      </c>
      <c r="J153" s="1504">
        <v>556.6</v>
      </c>
      <c r="K153" s="1505">
        <v>584.4</v>
      </c>
    </row>
    <row r="154" spans="1:11" ht="12.75">
      <c r="A154" s="1396" t="s">
        <v>76</v>
      </c>
      <c r="B154" s="1457" t="s">
        <v>698</v>
      </c>
      <c r="C154" s="1386" t="s">
        <v>631</v>
      </c>
      <c r="D154" s="1388" t="s">
        <v>802</v>
      </c>
      <c r="E154" s="1388"/>
      <c r="F154" s="1570"/>
      <c r="G154" s="1388"/>
      <c r="H154" s="1388"/>
      <c r="I154" s="1608">
        <f>I155+I157+I159</f>
        <v>15976.7</v>
      </c>
      <c r="J154" s="1506">
        <f>J155+J157+J159</f>
        <v>14235.2</v>
      </c>
      <c r="K154" s="1507">
        <f>K155+K157+K159</f>
        <v>15127.4</v>
      </c>
    </row>
    <row r="155" spans="1:11" ht="45">
      <c r="A155" s="1291" t="s">
        <v>77</v>
      </c>
      <c r="B155" s="1335" t="s">
        <v>66</v>
      </c>
      <c r="C155" s="1226" t="s">
        <v>631</v>
      </c>
      <c r="D155" s="1260" t="s">
        <v>802</v>
      </c>
      <c r="E155" s="1230" t="s">
        <v>64</v>
      </c>
      <c r="F155" s="1417"/>
      <c r="G155" s="1230"/>
      <c r="H155" s="1230"/>
      <c r="I155" s="1606">
        <f>I156</f>
        <v>4209.1</v>
      </c>
      <c r="J155" s="1502">
        <f>J156</f>
        <v>3628.3</v>
      </c>
      <c r="K155" s="1503">
        <f>K156</f>
        <v>3863.9</v>
      </c>
    </row>
    <row r="156" spans="1:11" ht="45">
      <c r="A156" s="1287" t="s">
        <v>78</v>
      </c>
      <c r="B156" s="1331" t="s">
        <v>776</v>
      </c>
      <c r="C156" s="1192" t="s">
        <v>631</v>
      </c>
      <c r="D156" s="1263" t="s">
        <v>802</v>
      </c>
      <c r="E156" s="1264" t="s">
        <v>64</v>
      </c>
      <c r="F156" s="1420">
        <v>598</v>
      </c>
      <c r="G156" s="1215"/>
      <c r="H156" s="1215"/>
      <c r="I156" s="1609">
        <f>'Бюд.р.'!H537</f>
        <v>4209.1</v>
      </c>
      <c r="J156" s="1504">
        <f>J14</f>
        <v>3628.3</v>
      </c>
      <c r="K156" s="1505">
        <f>K14</f>
        <v>3863.9</v>
      </c>
    </row>
    <row r="157" spans="1:11" ht="22.5">
      <c r="A157" s="1291" t="s">
        <v>1096</v>
      </c>
      <c r="B157" s="1455" t="s">
        <v>52</v>
      </c>
      <c r="C157" s="1226" t="s">
        <v>631</v>
      </c>
      <c r="D157" s="1260" t="s">
        <v>802</v>
      </c>
      <c r="E157" s="1260" t="s">
        <v>53</v>
      </c>
      <c r="F157" s="1590"/>
      <c r="G157" s="1260"/>
      <c r="H157" s="1260"/>
      <c r="I157" s="1606">
        <f>I158</f>
        <v>9259.8</v>
      </c>
      <c r="J157" s="1502">
        <f>J158</f>
        <v>8312.4</v>
      </c>
      <c r="K157" s="1503">
        <f>K158</f>
        <v>8820</v>
      </c>
    </row>
    <row r="158" spans="1:11" ht="45">
      <c r="A158" s="1290" t="s">
        <v>1097</v>
      </c>
      <c r="B158" s="1456" t="s">
        <v>776</v>
      </c>
      <c r="C158" s="1192" t="s">
        <v>631</v>
      </c>
      <c r="D158" s="1263" t="s">
        <v>802</v>
      </c>
      <c r="E158" s="1259" t="s">
        <v>53</v>
      </c>
      <c r="F158" s="1591">
        <v>598</v>
      </c>
      <c r="G158" s="1263"/>
      <c r="H158" s="1263"/>
      <c r="I158" s="1607">
        <f>'Бюд.р.'!H558</f>
        <v>9259.8</v>
      </c>
      <c r="J158" s="1504">
        <f>J16</f>
        <v>8312.4</v>
      </c>
      <c r="K158" s="1505">
        <f>K16</f>
        <v>8820</v>
      </c>
    </row>
    <row r="159" spans="1:11" ht="33.75">
      <c r="A159" s="1291" t="s">
        <v>1098</v>
      </c>
      <c r="B159" s="1455" t="s">
        <v>570</v>
      </c>
      <c r="C159" s="1226" t="s">
        <v>631</v>
      </c>
      <c r="D159" s="1260" t="s">
        <v>802</v>
      </c>
      <c r="E159" s="1260" t="s">
        <v>54</v>
      </c>
      <c r="F159" s="1590"/>
      <c r="G159" s="1260"/>
      <c r="H159" s="1260"/>
      <c r="I159" s="1606">
        <f>I160</f>
        <v>2507.8</v>
      </c>
      <c r="J159" s="1502">
        <f>J160</f>
        <v>2294.5</v>
      </c>
      <c r="K159" s="1503">
        <f>K160</f>
        <v>2443.5</v>
      </c>
    </row>
    <row r="160" spans="1:11" ht="45.75" thickBot="1">
      <c r="A160" s="1290" t="s">
        <v>1099</v>
      </c>
      <c r="B160" s="1468" t="s">
        <v>776</v>
      </c>
      <c r="C160" s="1243" t="s">
        <v>631</v>
      </c>
      <c r="D160" s="1266" t="s">
        <v>802</v>
      </c>
      <c r="E160" s="1267" t="s">
        <v>54</v>
      </c>
      <c r="F160" s="1592">
        <v>598</v>
      </c>
      <c r="G160" s="1263"/>
      <c r="H160" s="1263"/>
      <c r="I160" s="1616">
        <f>'Бюд.р.'!H563</f>
        <v>2507.8</v>
      </c>
      <c r="J160" s="1504">
        <f>J17</f>
        <v>2294.5</v>
      </c>
      <c r="K160" s="1505">
        <f>K17</f>
        <v>2443.5</v>
      </c>
    </row>
    <row r="161" spans="1:11" ht="57" thickBot="1">
      <c r="A161" s="1293"/>
      <c r="B161" s="1469" t="s">
        <v>857</v>
      </c>
      <c r="C161" s="1399" t="s">
        <v>858</v>
      </c>
      <c r="D161" s="1270"/>
      <c r="E161" s="1271"/>
      <c r="F161" s="1593"/>
      <c r="G161" s="1263"/>
      <c r="H161" s="1263"/>
      <c r="I161" s="1618">
        <f>I162</f>
        <v>0</v>
      </c>
      <c r="J161" s="1508"/>
      <c r="K161" s="1509"/>
    </row>
    <row r="162" spans="1:11" ht="22.5">
      <c r="A162" s="1400" t="s">
        <v>673</v>
      </c>
      <c r="B162" s="1470" t="s">
        <v>111</v>
      </c>
      <c r="C162" s="1401" t="s">
        <v>858</v>
      </c>
      <c r="D162" s="1402" t="s">
        <v>456</v>
      </c>
      <c r="E162" s="1402"/>
      <c r="F162" s="1594"/>
      <c r="G162" s="1640"/>
      <c r="H162" s="1640"/>
      <c r="I162" s="1619">
        <f>I163</f>
        <v>0</v>
      </c>
      <c r="J162" s="1508"/>
      <c r="K162" s="1509"/>
    </row>
    <row r="163" spans="1:11" ht="22.5">
      <c r="A163" s="1396" t="s">
        <v>76</v>
      </c>
      <c r="B163" s="1460" t="s">
        <v>23</v>
      </c>
      <c r="C163" s="1386">
        <v>917</v>
      </c>
      <c r="D163" s="1387" t="s">
        <v>525</v>
      </c>
      <c r="E163" s="1272"/>
      <c r="F163" s="1595"/>
      <c r="G163" s="1641"/>
      <c r="H163" s="1641"/>
      <c r="I163" s="1608">
        <f>I164</f>
        <v>0</v>
      </c>
      <c r="J163" s="1508"/>
      <c r="K163" s="1509"/>
    </row>
    <row r="164" spans="1:11" ht="33.75">
      <c r="A164" s="1291" t="s">
        <v>77</v>
      </c>
      <c r="B164" s="1335" t="s">
        <v>149</v>
      </c>
      <c r="C164" s="1254">
        <v>917</v>
      </c>
      <c r="D164" s="1230" t="s">
        <v>525</v>
      </c>
      <c r="E164" s="1230" t="s">
        <v>150</v>
      </c>
      <c r="F164" s="1591"/>
      <c r="G164" s="1263"/>
      <c r="H164" s="1263"/>
      <c r="I164" s="1606">
        <f>I165</f>
        <v>0</v>
      </c>
      <c r="J164" s="1508"/>
      <c r="K164" s="1509"/>
    </row>
    <row r="165" spans="1:11" ht="23.25" thickBot="1">
      <c r="A165" s="1290" t="s">
        <v>78</v>
      </c>
      <c r="B165" s="1471" t="s">
        <v>426</v>
      </c>
      <c r="C165" s="1273">
        <v>917</v>
      </c>
      <c r="D165" s="1274" t="s">
        <v>525</v>
      </c>
      <c r="E165" s="1274" t="s">
        <v>150</v>
      </c>
      <c r="F165" s="1596"/>
      <c r="G165" s="1373"/>
      <c r="H165" s="1373"/>
      <c r="I165" s="1616">
        <v>0</v>
      </c>
      <c r="J165" s="1508"/>
      <c r="K165" s="1509"/>
    </row>
    <row r="166" spans="1:11" ht="23.25" thickBot="1">
      <c r="A166" s="1403" t="s">
        <v>901</v>
      </c>
      <c r="B166" s="1472" t="s">
        <v>891</v>
      </c>
      <c r="C166" s="1404">
        <v>968</v>
      </c>
      <c r="D166" s="1405">
        <v>1100</v>
      </c>
      <c r="E166" s="1405"/>
      <c r="F166" s="1597"/>
      <c r="G166" s="1642"/>
      <c r="H166" s="1642"/>
      <c r="I166" s="1620">
        <f aca="true" t="shared" si="7" ref="I166:K168">I167</f>
        <v>3865.685</v>
      </c>
      <c r="J166" s="1524">
        <f t="shared" si="7"/>
        <v>4058.96925</v>
      </c>
      <c r="K166" s="1525">
        <f t="shared" si="7"/>
        <v>4261.917712500001</v>
      </c>
    </row>
    <row r="167" spans="1:11" ht="12.75">
      <c r="A167" s="1415" t="s">
        <v>974</v>
      </c>
      <c r="B167" s="1473" t="s">
        <v>892</v>
      </c>
      <c r="C167" s="1406">
        <v>968</v>
      </c>
      <c r="D167" s="1407">
        <v>1102</v>
      </c>
      <c r="E167" s="1407"/>
      <c r="F167" s="1416"/>
      <c r="G167" s="1643"/>
      <c r="H167" s="1643"/>
      <c r="I167" s="1621">
        <f t="shared" si="7"/>
        <v>3865.685</v>
      </c>
      <c r="J167" s="1526">
        <f t="shared" si="7"/>
        <v>4058.96925</v>
      </c>
      <c r="K167" s="1527">
        <f t="shared" si="7"/>
        <v>4261.917712500001</v>
      </c>
    </row>
    <row r="168" spans="1:11" ht="67.5">
      <c r="A168" s="1291" t="s">
        <v>975</v>
      </c>
      <c r="B168" s="1335" t="s">
        <v>697</v>
      </c>
      <c r="C168" s="1254">
        <v>968</v>
      </c>
      <c r="D168" s="1230">
        <v>1102</v>
      </c>
      <c r="E168" s="1230" t="str">
        <f>E169</f>
        <v>487 01 00</v>
      </c>
      <c r="F168" s="1417"/>
      <c r="G168" s="1230"/>
      <c r="H168" s="1230"/>
      <c r="I168" s="1606">
        <f t="shared" si="7"/>
        <v>3865.685</v>
      </c>
      <c r="J168" s="1502">
        <f t="shared" si="7"/>
        <v>4058.96925</v>
      </c>
      <c r="K168" s="1503">
        <f t="shared" si="7"/>
        <v>4261.917712500001</v>
      </c>
    </row>
    <row r="169" spans="1:11" ht="22.5">
      <c r="A169" s="1287" t="s">
        <v>976</v>
      </c>
      <c r="B169" s="1474" t="str">
        <f>'Бюд.р.'!A578</f>
        <v>Иные закупки товаров, работ и услуг для муниципальных нужд</v>
      </c>
      <c r="C169" s="1215">
        <v>968</v>
      </c>
      <c r="D169" s="1215">
        <v>1102</v>
      </c>
      <c r="E169" s="1215" t="s">
        <v>1011</v>
      </c>
      <c r="F169" s="1420">
        <f>'Бюд.р.'!F578</f>
        <v>240</v>
      </c>
      <c r="G169" s="1215"/>
      <c r="H169" s="1215"/>
      <c r="I169" s="1609">
        <f>SUM(I170:I171)</f>
        <v>3865.685</v>
      </c>
      <c r="J169" s="1528">
        <f>SUM(J170:J171)</f>
        <v>4058.96925</v>
      </c>
      <c r="K169" s="1529">
        <f>SUM(K170:K171)</f>
        <v>4261.917712500001</v>
      </c>
    </row>
    <row r="170" spans="1:11" ht="33.75">
      <c r="A170" s="1287" t="s">
        <v>201</v>
      </c>
      <c r="B170" s="1474" t="str">
        <f>'Бюд.р.'!A579</f>
        <v>Закупка товаров, работ, услуг в сфере информационно-коммуникационных технологий</v>
      </c>
      <c r="C170" s="1215">
        <v>968</v>
      </c>
      <c r="D170" s="1215">
        <v>1102</v>
      </c>
      <c r="E170" s="1215" t="s">
        <v>1011</v>
      </c>
      <c r="F170" s="1420">
        <f>'Бюд.р.'!F579</f>
        <v>242</v>
      </c>
      <c r="G170" s="1215"/>
      <c r="H170" s="1215"/>
      <c r="I170" s="1609">
        <f>'Бюд.р.'!H579</f>
        <v>0</v>
      </c>
      <c r="J170" s="1504">
        <f>I170*1.05</f>
        <v>0</v>
      </c>
      <c r="K170" s="1505">
        <f>J170*1.05</f>
        <v>0</v>
      </c>
    </row>
    <row r="171" spans="1:11" ht="23.25" thickBot="1">
      <c r="A171" s="1413" t="s">
        <v>202</v>
      </c>
      <c r="B171" s="1474" t="str">
        <f>'Бюд.р.'!A582</f>
        <v>Прочая закупка товаров, работ и услуг для муниципальных нужд</v>
      </c>
      <c r="C171" s="1215">
        <v>968</v>
      </c>
      <c r="D171" s="1215">
        <v>1102</v>
      </c>
      <c r="E171" s="1215" t="s">
        <v>1011</v>
      </c>
      <c r="F171" s="1420">
        <f>'Бюд.р.'!F582</f>
        <v>244</v>
      </c>
      <c r="G171" s="1215"/>
      <c r="H171" s="1215"/>
      <c r="I171" s="1622">
        <f>'Бюд.р.'!H582</f>
        <v>3865.685</v>
      </c>
      <c r="J171" s="1504">
        <f>I171*1.05</f>
        <v>4058.96925</v>
      </c>
      <c r="K171" s="1505">
        <f>J171*1.05</f>
        <v>4261.917712500001</v>
      </c>
    </row>
    <row r="172" spans="1:11" ht="23.25" thickBot="1">
      <c r="A172" s="1414" t="s">
        <v>902</v>
      </c>
      <c r="B172" s="1475" t="s">
        <v>893</v>
      </c>
      <c r="C172" s="1418">
        <v>968</v>
      </c>
      <c r="D172" s="1419">
        <v>1200</v>
      </c>
      <c r="E172" s="1419"/>
      <c r="F172" s="1598"/>
      <c r="G172" s="1642"/>
      <c r="H172" s="1642"/>
      <c r="I172" s="1623">
        <f aca="true" t="shared" si="8" ref="I172:K174">I173</f>
        <v>1800</v>
      </c>
      <c r="J172" s="1530">
        <f t="shared" si="8"/>
        <v>1890</v>
      </c>
      <c r="K172" s="1531">
        <f t="shared" si="8"/>
        <v>1984.5</v>
      </c>
    </row>
    <row r="173" spans="1:11" ht="22.5">
      <c r="A173" s="1368" t="s">
        <v>1056</v>
      </c>
      <c r="B173" s="1476" t="s">
        <v>692</v>
      </c>
      <c r="C173" s="1369">
        <v>968</v>
      </c>
      <c r="D173" s="1370">
        <v>1202</v>
      </c>
      <c r="E173" s="1370"/>
      <c r="F173" s="1599"/>
      <c r="G173" s="1643"/>
      <c r="H173" s="1643"/>
      <c r="I173" s="1624">
        <f t="shared" si="8"/>
        <v>1800</v>
      </c>
      <c r="J173" s="1532">
        <f t="shared" si="8"/>
        <v>1890</v>
      </c>
      <c r="K173" s="1533">
        <f t="shared" si="8"/>
        <v>1984.5</v>
      </c>
    </row>
    <row r="174" spans="1:11" ht="33.75">
      <c r="A174" s="1371" t="s">
        <v>1057</v>
      </c>
      <c r="B174" s="1329" t="s">
        <v>1032</v>
      </c>
      <c r="C174" s="1364">
        <v>968</v>
      </c>
      <c r="D174" s="1365">
        <v>1202</v>
      </c>
      <c r="E174" s="1365" t="s">
        <v>696</v>
      </c>
      <c r="F174" s="1569"/>
      <c r="G174" s="1365"/>
      <c r="H174" s="1365"/>
      <c r="I174" s="1612">
        <f t="shared" si="8"/>
        <v>1800</v>
      </c>
      <c r="J174" s="1514">
        <f t="shared" si="8"/>
        <v>1890</v>
      </c>
      <c r="K174" s="1515">
        <f t="shared" si="8"/>
        <v>1984.5</v>
      </c>
    </row>
    <row r="175" spans="1:11" ht="23.25" thickBot="1">
      <c r="A175" s="1292" t="s">
        <v>1058</v>
      </c>
      <c r="B175" s="1477" t="str">
        <f>'Бюд.р.'!A592</f>
        <v>Прочая закупка товаров, работ и услуг для муниципальных нужд</v>
      </c>
      <c r="C175" s="1478">
        <v>968</v>
      </c>
      <c r="D175" s="1479">
        <v>1202</v>
      </c>
      <c r="E175" s="1479" t="s">
        <v>696</v>
      </c>
      <c r="F175" s="1600">
        <f>'Бюд.р.'!F592</f>
        <v>244</v>
      </c>
      <c r="G175" s="1215"/>
      <c r="H175" s="1215"/>
      <c r="I175" s="1622">
        <f>'Бюд.р.'!H592</f>
        <v>1800</v>
      </c>
      <c r="J175" s="1534">
        <f>I175*1.05</f>
        <v>1890</v>
      </c>
      <c r="K175" s="1535">
        <f>J175*1.05</f>
        <v>1984.5</v>
      </c>
    </row>
    <row r="176" spans="1:11" ht="13.5" thickBot="1">
      <c r="A176" s="1293"/>
      <c r="B176" s="1444" t="s">
        <v>325</v>
      </c>
      <c r="C176" s="1445"/>
      <c r="D176" s="1446"/>
      <c r="E176" s="1447"/>
      <c r="F176" s="1448"/>
      <c r="G176" s="1551"/>
      <c r="H176" s="1551"/>
      <c r="I176" s="1449" t="e">
        <f>I21+I36</f>
        <v>#REF!</v>
      </c>
      <c r="J176" s="912"/>
      <c r="K176" s="912"/>
    </row>
    <row r="177" spans="1:11" ht="16.5" thickBot="1">
      <c r="A177" s="1425"/>
      <c r="B177" s="3108" t="s">
        <v>1109</v>
      </c>
      <c r="C177" s="3109"/>
      <c r="D177" s="3109"/>
      <c r="E177" s="3109"/>
      <c r="F177" s="3110"/>
      <c r="G177" s="1552"/>
      <c r="H177" s="1552"/>
      <c r="I177" s="1429" t="e">
        <f>I9-I18</f>
        <v>#VALUE!</v>
      </c>
      <c r="J177" s="1536" t="e">
        <f>J9-J18</f>
        <v>#VALUE!</v>
      </c>
      <c r="K177" s="1537" t="e">
        <f>K9-K18</f>
        <v>#VALUE!</v>
      </c>
    </row>
    <row r="178" spans="2:11" ht="15.75">
      <c r="B178" s="3111" t="s">
        <v>1120</v>
      </c>
      <c r="C178" s="3112"/>
      <c r="D178" s="3112"/>
      <c r="E178" s="3112"/>
      <c r="F178" s="3113"/>
      <c r="G178" s="1553"/>
      <c r="H178" s="1553"/>
      <c r="I178" s="1430" t="e">
        <f>I177/(I10+I11)</f>
        <v>#VALUE!</v>
      </c>
      <c r="J178" s="1538" t="e">
        <f>J177/(J10+J11)</f>
        <v>#VALUE!</v>
      </c>
      <c r="K178" s="1539" t="e">
        <f>K177/(K10+K11)</f>
        <v>#VALUE!</v>
      </c>
    </row>
    <row r="179" spans="2:11" ht="15.75">
      <c r="B179" s="3114" t="s">
        <v>1118</v>
      </c>
      <c r="C179" s="3115"/>
      <c r="D179" s="3115"/>
      <c r="E179" s="3115"/>
      <c r="F179" s="3116"/>
      <c r="G179" s="1554"/>
      <c r="H179" s="1554"/>
      <c r="I179" s="1431">
        <v>0</v>
      </c>
      <c r="J179" s="1488">
        <v>0</v>
      </c>
      <c r="K179" s="1489">
        <v>0</v>
      </c>
    </row>
    <row r="180" spans="2:11" ht="15.75">
      <c r="B180" s="3117" t="s">
        <v>1110</v>
      </c>
      <c r="C180" s="3118"/>
      <c r="D180" s="3118"/>
      <c r="E180" s="3118"/>
      <c r="F180" s="3119"/>
      <c r="G180" s="1555"/>
      <c r="H180" s="1555"/>
      <c r="I180" s="1432" t="s">
        <v>1113</v>
      </c>
      <c r="J180" s="1540" t="s">
        <v>1114</v>
      </c>
      <c r="K180" s="1541" t="s">
        <v>1115</v>
      </c>
    </row>
    <row r="181" spans="2:11" ht="15.75">
      <c r="B181" s="3100" t="str">
        <f>Доходы!D9</f>
        <v>Налог, взимаемый в связи с применением упрощенной системы налогообложения</v>
      </c>
      <c r="C181" s="3101"/>
      <c r="D181" s="3101"/>
      <c r="E181" s="3101"/>
      <c r="F181" s="3102"/>
      <c r="G181" s="1556"/>
      <c r="H181" s="1556"/>
      <c r="I181" s="1431">
        <v>10</v>
      </c>
      <c r="J181" s="1488">
        <v>10</v>
      </c>
      <c r="K181" s="1489">
        <v>10</v>
      </c>
    </row>
    <row r="182" spans="2:11" ht="15.75">
      <c r="B182" s="3100" t="str">
        <f>Доходы!D18</f>
        <v>Единый налог на вмененный доход для отдельных видов деятельности</v>
      </c>
      <c r="C182" s="3101"/>
      <c r="D182" s="3101"/>
      <c r="E182" s="3101"/>
      <c r="F182" s="3102"/>
      <c r="G182" s="1556"/>
      <c r="H182" s="1556"/>
      <c r="I182" s="1431">
        <v>45</v>
      </c>
      <c r="J182" s="1488">
        <v>45</v>
      </c>
      <c r="K182" s="1489">
        <v>45</v>
      </c>
    </row>
    <row r="183" spans="2:11" ht="15.75">
      <c r="B183" s="3100" t="str">
        <f>Доходы!D24</f>
        <v>Налог на имущество физических лиц</v>
      </c>
      <c r="C183" s="3101"/>
      <c r="D183" s="3101"/>
      <c r="E183" s="3101"/>
      <c r="F183" s="3102"/>
      <c r="G183" s="1556"/>
      <c r="H183" s="1556"/>
      <c r="I183" s="1431">
        <v>100</v>
      </c>
      <c r="J183" s="1488">
        <v>100</v>
      </c>
      <c r="K183" s="1489">
        <v>100</v>
      </c>
    </row>
    <row r="184" spans="2:11" ht="16.5" thickBot="1">
      <c r="B184" s="3103" t="s">
        <v>1117</v>
      </c>
      <c r="C184" s="3104"/>
      <c r="D184" s="3104"/>
      <c r="E184" s="3104"/>
      <c r="F184" s="3105"/>
      <c r="G184" s="1557"/>
      <c r="H184" s="1557"/>
      <c r="I184" s="1433">
        <v>100</v>
      </c>
      <c r="J184" s="1542">
        <v>100</v>
      </c>
      <c r="K184" s="1543">
        <v>100</v>
      </c>
    </row>
    <row r="185" ht="15.75">
      <c r="B185" s="884" t="s">
        <v>186</v>
      </c>
    </row>
    <row r="187" spans="2:11" ht="15.75">
      <c r="B187" s="3068" t="s">
        <v>1119</v>
      </c>
      <c r="C187" s="3068"/>
      <c r="D187" s="3068"/>
      <c r="E187" s="3068"/>
      <c r="F187" s="3068"/>
      <c r="G187" s="3068"/>
      <c r="H187" s="3068"/>
      <c r="I187" s="3068"/>
      <c r="J187" s="3068"/>
      <c r="K187" s="3068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5"/>
  <sheetViews>
    <sheetView zoomScale="78" zoomScaleNormal="78" zoomScalePageLayoutView="0" workbookViewId="0" topLeftCell="A1">
      <selection activeCell="B49" sqref="B49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121" t="s">
        <v>1278</v>
      </c>
      <c r="B1" s="3121"/>
      <c r="C1" s="3121"/>
      <c r="D1" s="3121"/>
      <c r="E1" s="3121"/>
      <c r="F1" s="3121"/>
    </row>
    <row r="2" spans="1:6" ht="15">
      <c r="A2" s="3121" t="s">
        <v>1103</v>
      </c>
      <c r="B2" s="3121"/>
      <c r="C2" s="3121"/>
      <c r="D2" s="3121"/>
      <c r="E2" s="3121"/>
      <c r="F2" s="3121"/>
    </row>
    <row r="3" spans="1:6" ht="15">
      <c r="A3" s="1906"/>
      <c r="B3" s="3121" t="s">
        <v>1337</v>
      </c>
      <c r="C3" s="3121"/>
      <c r="D3" s="3121"/>
      <c r="E3" s="3121"/>
      <c r="F3" s="3121"/>
    </row>
    <row r="4" spans="1:6" ht="15" hidden="1">
      <c r="A4" s="1906"/>
      <c r="B4" s="3121" t="s">
        <v>1279</v>
      </c>
      <c r="C4" s="3121"/>
      <c r="D4" s="2259"/>
      <c r="E4" s="2259"/>
      <c r="F4" s="2259"/>
    </row>
    <row r="5" spans="1:6" ht="37.5" customHeight="1" thickBot="1">
      <c r="A5" s="3120" t="s">
        <v>1296</v>
      </c>
      <c r="B5" s="3120"/>
      <c r="C5" s="3120"/>
      <c r="D5" s="3120"/>
      <c r="E5" s="3120"/>
      <c r="F5" s="3120"/>
    </row>
    <row r="6" spans="1:6" ht="36.75" thickBot="1">
      <c r="A6" s="1933" t="s">
        <v>1152</v>
      </c>
      <c r="B6" s="1940" t="s">
        <v>254</v>
      </c>
      <c r="C6" s="1940" t="s">
        <v>265</v>
      </c>
      <c r="D6" s="1914" t="s">
        <v>110</v>
      </c>
      <c r="E6" s="1342" t="s">
        <v>266</v>
      </c>
      <c r="F6" s="255" t="s">
        <v>303</v>
      </c>
    </row>
    <row r="7" spans="1:6" ht="12.75">
      <c r="A7" s="1626" t="s">
        <v>727</v>
      </c>
      <c r="B7" s="1626">
        <v>2</v>
      </c>
      <c r="C7" s="1626" t="s">
        <v>471</v>
      </c>
      <c r="D7" s="1915" t="s">
        <v>327</v>
      </c>
      <c r="E7" s="1129" t="s">
        <v>327</v>
      </c>
      <c r="F7" s="328">
        <v>7</v>
      </c>
    </row>
    <row r="8" spans="1:6" ht="15">
      <c r="A8" s="1912" t="s">
        <v>727</v>
      </c>
      <c r="B8" s="1908" t="s">
        <v>1153</v>
      </c>
      <c r="C8" s="1907" t="str">
        <f>'Бюд.р.'!D60</f>
        <v>002  01 00</v>
      </c>
      <c r="D8" s="1918">
        <f>'Бюд.р.'!E7</f>
        <v>0</v>
      </c>
      <c r="E8" s="1195"/>
      <c r="F8" s="1309">
        <f>'Бюд.р.'!G7</f>
        <v>0</v>
      </c>
    </row>
    <row r="9" spans="1:6" ht="15.75" customHeight="1">
      <c r="A9" s="1912" t="s">
        <v>804</v>
      </c>
      <c r="B9" s="1910" t="str">
        <f>'Бюд.р.'!A67</f>
        <v>ДЕПУТАТЫ ПРЕДСТАВИТЕЛЬНОГО ОРГАНА МУНИЦИПАЛЬНОГО ОБРАЗОВАНИЯ</v>
      </c>
      <c r="C9" s="1907" t="str">
        <f>'Бюд.р.'!D67</f>
        <v>002  03 00</v>
      </c>
      <c r="D9" s="1919">
        <f>'Бюд.р.'!E9</f>
        <v>0</v>
      </c>
      <c r="E9" s="1193"/>
      <c r="F9" s="1704">
        <f>'Бюд.р.'!G9</f>
        <v>0</v>
      </c>
    </row>
    <row r="10" spans="1:6" ht="15">
      <c r="A10" s="1912" t="s">
        <v>471</v>
      </c>
      <c r="B10" s="1910" t="str">
        <f>'Бюд.р.'!A68</f>
        <v>ДЕПУТАТЫ, ОСУЩЕСТВЛЯЮЩИЕ СВОЮ ДЕЯТЕЛЬНОСТЬ НА ПОСТОЯННОЙ ОСНОВЕ</v>
      </c>
      <c r="C10" s="1907" t="str">
        <f>'Бюд.р.'!D68</f>
        <v>002  03 01</v>
      </c>
      <c r="D10" s="1920"/>
      <c r="E10" s="1705"/>
      <c r="F10" s="1706">
        <f>F11</f>
        <v>225</v>
      </c>
    </row>
    <row r="11" spans="1:6" ht="16.5" customHeight="1">
      <c r="A11" s="1912" t="s">
        <v>680</v>
      </c>
      <c r="B11" s="1910" t="str">
        <f>'Бюд.р.'!A77</f>
        <v>КОМПЕСАЦИЯ  ДЕПУТАТАМ, ОСУЩЕСТВЛЯЮЩИМ СВОИ ПОЛНОМОЧИЯ НА НЕПОСТОЯННОЙ ОСНОВЕ</v>
      </c>
      <c r="C11" s="1907" t="str">
        <f>'Бюд.р.'!D77</f>
        <v>002  03 02</v>
      </c>
      <c r="D11" s="1919">
        <f>'Бюд.р.'!E21</f>
        <v>500</v>
      </c>
      <c r="E11" s="1193"/>
      <c r="F11" s="1704">
        <f>'Бюд.р.'!G21</f>
        <v>225</v>
      </c>
    </row>
    <row r="12" spans="1:6" ht="15.75" thickBot="1">
      <c r="A12" s="1912" t="s">
        <v>326</v>
      </c>
      <c r="B12" s="1910" t="str">
        <f>'Бюд.р.'!A82</f>
        <v>АППАРАТ ПРЕДСТАВИТЕЛЬНОГО ОРГАНА МУНИЦИПАЛЬНОГО ОБРАЗОВАНИЯ</v>
      </c>
      <c r="C12" s="1907" t="str">
        <f>'Бюд.р.'!D82</f>
        <v>002  04 00</v>
      </c>
      <c r="D12" s="1921"/>
      <c r="E12" s="1737"/>
      <c r="F12" s="1738" t="e">
        <f>#REF!+#REF!</f>
        <v>#REF!</v>
      </c>
    </row>
    <row r="13" spans="1:6" ht="15">
      <c r="A13" s="1912" t="s">
        <v>327</v>
      </c>
      <c r="B13" s="1910" t="str">
        <f>'Бюд.р.'!A151</f>
        <v>ГЛАВА МЕСТНОЙ АДМИНИСТРАЦИИ</v>
      </c>
      <c r="C13" s="1907" t="str">
        <f>'Бюд.р.'!D151</f>
        <v>002  05 00</v>
      </c>
      <c r="D13" s="1922" t="s">
        <v>748</v>
      </c>
      <c r="E13" s="1198" t="s">
        <v>276</v>
      </c>
      <c r="F13" s="1310"/>
    </row>
    <row r="14" spans="1:6" ht="16.5" customHeight="1">
      <c r="A14" s="1912" t="s">
        <v>328</v>
      </c>
      <c r="B14" s="1910" t="str">
        <f>'Бюд.р.'!A158</f>
        <v>СОДЕРЖАНИЕ И ОБЕСПЕЧЕНИЕ ДЕЯТЕЛЬНОСТИ МЕСТНОЙ АДМИНИСТРАЦИИ ПО РЕШЕНИЮ ВОПРОСОВ МЕСТНОГО ЗНАЧЕНИЯ</v>
      </c>
      <c r="C14" s="1907" t="str">
        <f>'Бюд.р.'!D158</f>
        <v>002  06 01</v>
      </c>
      <c r="D14" s="1923" t="s">
        <v>748</v>
      </c>
      <c r="E14" s="1206" t="s">
        <v>286</v>
      </c>
      <c r="F14" s="1310"/>
    </row>
    <row r="15" spans="1:6" ht="27" customHeight="1">
      <c r="A15" s="1912" t="s">
        <v>784</v>
      </c>
      <c r="B15" s="1908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15" s="1907" t="str">
        <f>'Бюд.р.'!D208</f>
        <v>002  80 10</v>
      </c>
      <c r="D15" s="1924"/>
      <c r="E15" s="1210"/>
      <c r="F15" s="1310"/>
    </row>
    <row r="16" spans="1:6" ht="30" customHeight="1">
      <c r="A16" s="1912" t="s">
        <v>390</v>
      </c>
      <c r="B16" s="1908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6" s="1907" t="str">
        <f>'Бюд.р.'!D535</f>
        <v>002 80 31</v>
      </c>
      <c r="D16" s="1924"/>
      <c r="E16" s="1210"/>
      <c r="F16" s="1310"/>
    </row>
    <row r="17" spans="1:6" ht="15">
      <c r="A17" s="1912" t="s">
        <v>391</v>
      </c>
      <c r="B17" s="1908" t="str">
        <f>'Бюд.р.'!A221</f>
        <v>Резервный фонд местной администрации</v>
      </c>
      <c r="C17" s="1907" t="str">
        <f>'Бюд.р.'!D221</f>
        <v>070 01 01</v>
      </c>
      <c r="D17" s="1925"/>
      <c r="E17" s="1187"/>
      <c r="F17" s="1307" t="e">
        <f>F18+#REF!</f>
        <v>#REF!</v>
      </c>
    </row>
    <row r="18" spans="1:6" ht="19.5" customHeight="1">
      <c r="A18" s="1912" t="s">
        <v>103</v>
      </c>
      <c r="B18" s="1910" t="str">
        <f>'Бюд.р.'!A227</f>
        <v>ФОРМИРОВАНИЕ АРХИВНЫХ ФОНДОВ ОРГАНОВ МЕСТНОГО САМОУПРАВЛЕНИЯ,МУНИЦИПАЛЬНЫХ ПРЕДПРИЯТИЙ И УЧРЕЖДЕНИЙ</v>
      </c>
      <c r="C18" s="1907" t="str">
        <f>'Бюд.р.'!D227</f>
        <v>090 01 00</v>
      </c>
      <c r="D18" s="1926"/>
      <c r="E18" s="1191"/>
      <c r="F18" s="1311" t="e">
        <f>#REF!+#REF!</f>
        <v>#REF!</v>
      </c>
    </row>
    <row r="19" spans="1:6" ht="17.25" customHeight="1">
      <c r="A19" s="1912" t="s">
        <v>1</v>
      </c>
      <c r="B19" s="1934" t="str">
        <f>'Бюд.р.'!A240</f>
        <v>РАСХОДЫ НА ОСУЩЕСТВЛЕНИЕ ЗАКУПОК ТОВАРОВ, РАБОТ, УСЛУГ ДЛЯ ОБЕСПЕЧЕНИЯ МУНИЦИПАЛЬНЫХ НУЖД</v>
      </c>
      <c r="C19" s="1907" t="str">
        <f>'Бюд.р.'!D240</f>
        <v>092 02 00</v>
      </c>
      <c r="D19" s="1927">
        <f>'Бюд.р.'!E64</f>
        <v>500</v>
      </c>
      <c r="E19" s="1216"/>
      <c r="F19" s="1313">
        <f>'Бюд.р.'!G64</f>
        <v>211</v>
      </c>
    </row>
    <row r="20" spans="1:6" ht="28.5" customHeight="1">
      <c r="A20" s="1912" t="s">
        <v>518</v>
      </c>
      <c r="B20" s="1935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0" s="1907" t="str">
        <f>'Бюд.р.'!D104</f>
        <v>092 05 00</v>
      </c>
      <c r="D20" s="1916"/>
      <c r="E20" s="1247"/>
      <c r="F20" s="1314" t="e">
        <f>F21+#REF!</f>
        <v>#REF!</v>
      </c>
    </row>
    <row r="21" spans="1:6" ht="26.25" customHeight="1">
      <c r="A21" s="1912" t="s">
        <v>519</v>
      </c>
      <c r="B21" s="1910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21" s="1907" t="str">
        <f>'Бюд.р.'!D250</f>
        <v>092 06 00</v>
      </c>
      <c r="D21" s="1928"/>
      <c r="E21" s="1225"/>
      <c r="F21" s="1311">
        <f>F22</f>
        <v>6</v>
      </c>
    </row>
    <row r="22" spans="1:6" ht="15">
      <c r="A22" s="1912" t="s">
        <v>33</v>
      </c>
      <c r="B22" s="1910" t="str">
        <f>'Бюд.р.'!A255</f>
        <v>РАСХОДЫ НА ПОДДЕРЖАНИЕ САЙТА МО МО ОЗЕРО ДОЛГОЕ</v>
      </c>
      <c r="C22" s="1907" t="str">
        <f>'Бюд.р.'!D255</f>
        <v>092 08 00</v>
      </c>
      <c r="D22" s="1918">
        <f>'Бюд.р.'!E147</f>
        <v>5</v>
      </c>
      <c r="E22" s="1225"/>
      <c r="F22" s="1313">
        <f>'Бюд.р.'!G147</f>
        <v>6</v>
      </c>
    </row>
    <row r="23" spans="1:6" ht="18.75" customHeight="1">
      <c r="A23" s="1912" t="s">
        <v>76</v>
      </c>
      <c r="B23" s="1910" t="str">
        <f>'Бюд.р.'!A261</f>
        <v>РАСХОДЫ НА ОСУЩЕСТВЛЕНИЕ ЗАЩИТЫ ПРАВ ПОТРЕБИТЕЛЕЙ</v>
      </c>
      <c r="C23" s="1907" t="str">
        <f>'Бюд.р.'!D261</f>
        <v>092 10 00</v>
      </c>
      <c r="D23" s="1929"/>
      <c r="E23" s="1214"/>
      <c r="F23" s="1312"/>
    </row>
    <row r="24" spans="1:6" ht="21" customHeight="1">
      <c r="A24" s="1912" t="s">
        <v>974</v>
      </c>
      <c r="B24" s="1934" t="str">
        <f>'Бюд.р.'!A435</f>
        <v>УЧАСТИЕ В МЕРОПРИЯТИЯХ ПО ОХРАНЕ ОКРУЖАЮЩЕЙ СРЕДЫ В ГРАНИЦАХ МУНИЦИПАЛЬНОГО ОБРАЗОВАНИЯ</v>
      </c>
      <c r="C24" s="1907" t="str">
        <f>'Бюд.р.'!D435</f>
        <v>410 01 00</v>
      </c>
      <c r="D24" s="1927">
        <f>'Бюд.р.'!E161</f>
        <v>500</v>
      </c>
      <c r="E24" s="1229"/>
      <c r="F24" s="1313">
        <f>'Бюд.р.'!G161</f>
        <v>200</v>
      </c>
    </row>
    <row r="25" spans="1:6" ht="27" customHeight="1">
      <c r="A25" s="1912" t="s">
        <v>1056</v>
      </c>
      <c r="B25" s="1934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25" s="1907" t="str">
        <f>'Бюд.р.'!D443</f>
        <v>428 01 01</v>
      </c>
      <c r="D25" s="1927"/>
      <c r="E25" s="1229"/>
      <c r="F25" s="1313"/>
    </row>
    <row r="26" spans="1:6" ht="18" customHeight="1">
      <c r="A26" s="1912" t="s">
        <v>1131</v>
      </c>
      <c r="B26" s="1934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26" s="1907" t="str">
        <f>'Бюд.р.'!D448</f>
        <v>428 01 02</v>
      </c>
      <c r="D26" s="1927"/>
      <c r="E26" s="1229"/>
      <c r="F26" s="1313"/>
    </row>
    <row r="27" spans="1:6" ht="15">
      <c r="A27" s="1912" t="s">
        <v>1338</v>
      </c>
      <c r="B27" s="1934" t="str">
        <f>'Бюд.р.'!A590</f>
        <v>ОПУБЛИКОВАНИЕ МУНИЦИПАЛЬНЫХ ПРАВОВЫХ АКТОВ, ИНОЙ ИНФОРМАЦИИ </v>
      </c>
      <c r="C27" s="1907" t="str">
        <f>'Бюд.р.'!D590</f>
        <v>457 03 00</v>
      </c>
      <c r="D27" s="1927">
        <f>'Бюд.р.'!E200</f>
        <v>0</v>
      </c>
      <c r="E27" s="1229"/>
      <c r="F27" s="1313">
        <f>'Бюд.р.'!G200</f>
        <v>0</v>
      </c>
    </row>
    <row r="28" spans="1:6" ht="26.25" customHeight="1">
      <c r="A28" s="1912" t="s">
        <v>1154</v>
      </c>
      <c r="B28" s="1934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28" s="1907" t="str">
        <f>'Бюд.р.'!D529</f>
        <v>505 01 00</v>
      </c>
      <c r="D28" s="1926"/>
      <c r="E28" s="1231"/>
      <c r="F28" s="1312">
        <f>F30</f>
        <v>300</v>
      </c>
    </row>
    <row r="29" spans="1:6" ht="18" customHeight="1">
      <c r="A29" s="1912" t="s">
        <v>1155</v>
      </c>
      <c r="B29" s="1934" t="str">
        <f>'Бюд.р.'!A310</f>
        <v>ВРЕМЕННОЕ ТРУДОУСТРОЙСТВО НЕСОВЕРШЕННОЛЕТНИХ В ВОЗРАСТЕ ОТ 14 ДО 18 ЛЕТ В СВОБОДНОЕ ОТ УЧЕБЫ ВРЕМЯ</v>
      </c>
      <c r="C29" s="1907" t="str">
        <f>'Бюд.р.'!D310</f>
        <v>510 02 00</v>
      </c>
      <c r="D29" s="1926"/>
      <c r="E29" s="1231"/>
      <c r="F29" s="1312"/>
    </row>
    <row r="30" spans="1:6" ht="32.25" customHeight="1">
      <c r="A30" s="1912" t="s">
        <v>1156</v>
      </c>
      <c r="B30" s="1936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30" s="1907" t="str">
        <f>'Бюд.р.'!D556</f>
        <v>511 80 32</v>
      </c>
      <c r="D30" s="1927">
        <v>870</v>
      </c>
      <c r="E30" s="1217"/>
      <c r="F30" s="1313">
        <f>'Бюд.р.'!G217</f>
        <v>300</v>
      </c>
    </row>
    <row r="31" spans="1:6" ht="31.5" customHeight="1">
      <c r="A31" s="1912" t="s">
        <v>1157</v>
      </c>
      <c r="B31" s="1936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31" s="1911" t="str">
        <f>'Бюд.р.'!D561</f>
        <v>511 80 33</v>
      </c>
      <c r="D31" s="1930"/>
      <c r="E31" s="1298"/>
      <c r="F31" s="1307">
        <f>'Бюд.р.'!G221</f>
        <v>0</v>
      </c>
    </row>
    <row r="32" spans="1:6" ht="15">
      <c r="A32" s="1912" t="s">
        <v>1158</v>
      </c>
      <c r="B32" s="1937" t="str">
        <f>'Бюд.р.'!A328</f>
        <v>БЛАГОУСТРОЙСТВО ПРИДОМОВЫХ ТЕРРИТОРИЙ И ДВОРОВЫХ ТЕРРИТОРИЙ</v>
      </c>
      <c r="C32" s="1911" t="str">
        <f>'Бюд.р.'!D328</f>
        <v>600 01 00</v>
      </c>
      <c r="D32" s="1917"/>
      <c r="E32" s="1233"/>
      <c r="F32" s="1311">
        <f>F33</f>
        <v>200</v>
      </c>
    </row>
    <row r="33" spans="1:6" ht="16.5" customHeight="1">
      <c r="A33" s="1912" t="s">
        <v>1159</v>
      </c>
      <c r="B33" s="1934" t="str">
        <f>'Бюд.р.'!A329</f>
        <v>ТЕКУЩИЙ РЕМОНТ ПРИДОМОВЫХ ТЕРРИТОРИЙ И ДВОРОВЫХ ТЕРРИТОРИЙ , ВКЛЮЧАЯ ПРОЕЗДЫ И ВЪЕЗДЫ,ПЕШЕХОДНЫЕ ДОРОЖКИ</v>
      </c>
      <c r="C33" s="1907" t="str">
        <f>'Бюд.р.'!D331</f>
        <v>600 01 01</v>
      </c>
      <c r="D33" s="1918">
        <f>'Бюд.р.'!E224</f>
        <v>13</v>
      </c>
      <c r="E33" s="1210"/>
      <c r="F33" s="1309">
        <f>'Бюд.р.'!G224</f>
        <v>200</v>
      </c>
    </row>
    <row r="34" spans="1:6" ht="15">
      <c r="A34" s="1912" t="s">
        <v>1160</v>
      </c>
      <c r="B34" s="1934" t="str">
        <f>'Бюд.р.'!A338</f>
        <v>ОРГАНИЗАЦИЯ ДОПОЛНИТЕЛЬНЫХ  ПАРКОВОЧНЫХ МЕСТ НА ДВОРОВЫХ ТЕРРИТОРИЯХ</v>
      </c>
      <c r="C34" s="1911" t="str">
        <f>'Бюд.р.'!D338</f>
        <v>600 01 02</v>
      </c>
      <c r="D34" s="1931"/>
      <c r="E34" s="1191"/>
      <c r="F34" s="1311">
        <f>SUM(F35:F48)</f>
        <v>226</v>
      </c>
    </row>
    <row r="35" spans="1:6" ht="15">
      <c r="A35" s="1912" t="s">
        <v>1161</v>
      </c>
      <c r="B35" s="1910" t="str">
        <f>'Бюд.р.'!A343</f>
        <v>УСТАНОВКА,СОДЕРЖАНИЕ И РЕМОНТ ОГРАЖДЕНИЙ ГАЗОНОВ </v>
      </c>
      <c r="C35" s="1907" t="str">
        <f>'Бюд.р.'!D343</f>
        <v>600 01 03</v>
      </c>
      <c r="D35" s="1918" t="s">
        <v>800</v>
      </c>
      <c r="E35" s="1195"/>
      <c r="F35" s="1309">
        <f>'Бюд.р.'!G227</f>
        <v>0</v>
      </c>
    </row>
    <row r="36" spans="1:6" ht="25.5" customHeight="1">
      <c r="A36" s="1912" t="s">
        <v>1162</v>
      </c>
      <c r="B36" s="1910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36" s="1907" t="str">
        <f>'Бюд.р.'!D354</f>
        <v>600 01 04</v>
      </c>
      <c r="D36" s="1918"/>
      <c r="E36" s="1195"/>
      <c r="F36" s="1309"/>
    </row>
    <row r="37" spans="1:6" ht="13.5" customHeight="1">
      <c r="A37" s="1912" t="s">
        <v>1163</v>
      </c>
      <c r="B37" s="1937" t="str">
        <f>'Бюд.р.'!A362</f>
        <v>БЛАГОУСТРОЙСТВО ТЕРРИТОРИИ МО , СВЯЗАННОЕ С ОБЕСПЕЧЕНИЕМ САНИТАРНОГО БЛАГОПОЛУЧИЯ НАСЕЛЕНИЯ</v>
      </c>
      <c r="C37" s="1907" t="str">
        <f>'Бюд.р.'!D362</f>
        <v>600 02 00</v>
      </c>
      <c r="D37" s="1918"/>
      <c r="E37" s="1195"/>
      <c r="F37" s="1309"/>
    </row>
    <row r="38" spans="1:6" ht="15">
      <c r="A38" s="1912" t="s">
        <v>1164</v>
      </c>
      <c r="B38" s="1910" t="str">
        <f>'Бюд.р.'!A363</f>
        <v>ОБОРУДОВАНИЕ КОНТЕЙНЕРНЫХ ПЛОЩАДОК НА ТЕРРИТОРИЯХ ДВОРОВ</v>
      </c>
      <c r="C38" s="1907" t="str">
        <f>'Бюд.р.'!D363</f>
        <v>600 02 01</v>
      </c>
      <c r="D38" s="1918"/>
      <c r="E38" s="1195"/>
      <c r="F38" s="1309"/>
    </row>
    <row r="39" spans="1:6" ht="25.5" customHeight="1">
      <c r="A39" s="1912" t="s">
        <v>1165</v>
      </c>
      <c r="B39" s="1910" t="str">
        <f>'Бюд.р.'!A374</f>
        <v>ЛИКВИДАЦИЯ НЕСАНКЦИОНИРОВАННЫХ СВАЛОК БЫТОВЫХ ОТХОДОВ, МУСОРА, УБОРКА ТЕРРИТОРИЙ, ВОДНЫХ АКВАТОРИЙ, ТУПИКОВ И ПРОЕЗДОВ</v>
      </c>
      <c r="C39" s="1907" t="str">
        <f>'Бюд.р.'!D374</f>
        <v>600 02 04</v>
      </c>
      <c r="D39" s="1918"/>
      <c r="E39" s="1195"/>
      <c r="F39" s="1309"/>
    </row>
    <row r="40" spans="1:6" ht="15">
      <c r="A40" s="1912" t="s">
        <v>1166</v>
      </c>
      <c r="B40" s="1910" t="str">
        <f>'Бюд.р.'!A382</f>
        <v>ОЗЕЛЕНЕНИЕ  ТЕРРИТОРИЙ МУНИЦИПАЛЬНОГО ОБРАЗОВАНИЯ</v>
      </c>
      <c r="C40" s="1907" t="str">
        <f>'Бюд.р.'!D382</f>
        <v>600 03 00</v>
      </c>
      <c r="D40" s="1918"/>
      <c r="E40" s="1195"/>
      <c r="F40" s="1309"/>
    </row>
    <row r="41" spans="1:6" ht="27" customHeight="1">
      <c r="A41" s="1912" t="s">
        <v>1167</v>
      </c>
      <c r="B41" s="1910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C41" s="1907" t="str">
        <f>'Бюд.р.'!D383</f>
        <v>600 03 01</v>
      </c>
      <c r="D41" s="1918"/>
      <c r="E41" s="1195"/>
      <c r="F41" s="1309"/>
    </row>
    <row r="42" spans="1:6" ht="29.25" customHeight="1">
      <c r="A42" s="1912" t="s">
        <v>1168</v>
      </c>
      <c r="B42" s="1910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42" s="1907" t="str">
        <f>'Бюд.р.'!D393</f>
        <v>600 03 02</v>
      </c>
      <c r="D42" s="1918"/>
      <c r="E42" s="1195"/>
      <c r="F42" s="1309"/>
    </row>
    <row r="43" spans="1:6" ht="15">
      <c r="A43" s="1912" t="s">
        <v>1169</v>
      </c>
      <c r="B43" s="1910" t="str">
        <f>'Бюд.р.'!A405</f>
        <v>ОРГАНИЗАЦИЯ УЧЕТА ЗЕЛЕНЫХ НАСАЖДЕНИЙ ВНУТРИКВАРТАЛЬНОГО ОЗЕЛЕНЕНИЯ </v>
      </c>
      <c r="C43" s="1907" t="str">
        <f>'Бюд.р.'!D405</f>
        <v>600 03 05</v>
      </c>
      <c r="D43" s="1918"/>
      <c r="E43" s="1195"/>
      <c r="F43" s="1309"/>
    </row>
    <row r="44" spans="1:6" ht="15">
      <c r="A44" s="1912" t="s">
        <v>1170</v>
      </c>
      <c r="B44" s="1910" t="str">
        <f>'Бюд.р.'!A410</f>
        <v>ПРОЧИЕ МЕРОПРИЯТИЯ В ОБЛАСТИ БЛАГОУСТРОЙСТВА</v>
      </c>
      <c r="C44" s="1907" t="str">
        <f>'Бюд.р.'!D410</f>
        <v>600 04 00</v>
      </c>
      <c r="D44" s="1918"/>
      <c r="E44" s="1195"/>
      <c r="F44" s="1309"/>
    </row>
    <row r="45" spans="1:6" ht="16.5" customHeight="1">
      <c r="A45" s="1912" t="s">
        <v>1171</v>
      </c>
      <c r="B45" s="1910" t="str">
        <f>'Бюд.р.'!A411</f>
        <v>СОЗДАНИЕ ЗОН ОТДЫХА, В ТОМ ЧИСЛЕ ОБУСТРОЙСТВО, СОДЕРЖАНИЕ И УБОРКА ТЕРРИТОРИЙ ДЕТСКИХ ПЛОЩАДОК</v>
      </c>
      <c r="C45" s="1907" t="str">
        <f>'Бюд.р.'!D411</f>
        <v>600 04 01</v>
      </c>
      <c r="D45" s="1918"/>
      <c r="E45" s="1195"/>
      <c r="F45" s="1309"/>
    </row>
    <row r="46" spans="1:6" ht="15" customHeight="1">
      <c r="A46" s="1912" t="s">
        <v>1172</v>
      </c>
      <c r="B46" s="1910" t="str">
        <f>'Бюд.р.'!A419</f>
        <v>ОБУСТРОЙСТВО, СОДЕРЖАНИЕ И УБОРКА ТЕРРИТОРИЙ СПОРТИВНЫХ ПЛОЩАДОК</v>
      </c>
      <c r="C46" s="1907" t="str">
        <f>'Бюд.р.'!D423</f>
        <v>600 04 02</v>
      </c>
      <c r="D46" s="1918"/>
      <c r="E46" s="1195"/>
      <c r="F46" s="1309"/>
    </row>
    <row r="47" spans="1:6" ht="15" customHeight="1">
      <c r="A47" s="1912" t="s">
        <v>1339</v>
      </c>
      <c r="B47" s="1910" t="str">
        <f>'Бюд.р.'!A424</f>
        <v>ВЫПОЛНЕНИЕ ОФОРМЛЕНИЯ К ПРАЗДНИЧНЫМ МЕРОПРИЯТИЯМ НА ТЕРРИТОРИИ МУНИЦИПАЛЬНОГО ОБРАЗОВАНИЯ</v>
      </c>
      <c r="C47" s="1907" t="str">
        <f>'Бюд.р.'!D424</f>
        <v>600 04 03</v>
      </c>
      <c r="D47" s="1918"/>
      <c r="E47" s="1195"/>
      <c r="F47" s="1309"/>
    </row>
    <row r="48" spans="1:6" ht="28.5" customHeight="1">
      <c r="A48" s="1912" t="s">
        <v>1173</v>
      </c>
      <c r="B48" s="1938" t="str">
        <f>'Бюд.р.'!A490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48" s="1913" t="str">
        <f>'Бюд.р.'!D490</f>
        <v>795 01 00</v>
      </c>
      <c r="D48" s="1918" t="s">
        <v>998</v>
      </c>
      <c r="E48" s="1195"/>
      <c r="F48" s="1309">
        <f>'Бюд.р.'!G231</f>
        <v>226</v>
      </c>
    </row>
    <row r="49" spans="1:6" ht="15.75" customHeight="1">
      <c r="A49" s="1912" t="s">
        <v>1174</v>
      </c>
      <c r="B49" s="1938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49" s="1913" t="str">
        <f>'Бюд.р.'!D266</f>
        <v>795 02 00</v>
      </c>
      <c r="D49" s="1932"/>
      <c r="E49" s="1214"/>
      <c r="F49" s="1312">
        <f>F51</f>
        <v>226</v>
      </c>
    </row>
    <row r="50" spans="1:6" ht="76.5" customHeight="1">
      <c r="A50" s="1912" t="s">
        <v>1175</v>
      </c>
      <c r="B50" s="1938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0" s="1913" t="str">
        <f>'Бюд.р.'!D281</f>
        <v>795 03 00</v>
      </c>
      <c r="D50" s="1932"/>
      <c r="E50" s="1214"/>
      <c r="F50" s="1312"/>
    </row>
    <row r="51" spans="1:6" ht="34.5" customHeight="1">
      <c r="A51" s="1912" t="s">
        <v>1176</v>
      </c>
      <c r="B51" s="1939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51" s="1913" t="str">
        <f>'Бюд.р.'!D499</f>
        <v>795 04 00</v>
      </c>
      <c r="D51" s="1927">
        <f>'Бюд.р.'!E235</f>
        <v>500</v>
      </c>
      <c r="E51" s="1229"/>
      <c r="F51" s="1313">
        <f>'Бюд.р.'!G235</f>
        <v>226</v>
      </c>
    </row>
    <row r="52" spans="1:6" ht="32.25" customHeight="1">
      <c r="A52" s="1912" t="s">
        <v>1177</v>
      </c>
      <c r="B52" s="1939" t="str">
        <f>'Бюд.р.'!A302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52" s="1913" t="str">
        <f>'Бюд.р.'!D302</f>
        <v>795 05 00</v>
      </c>
      <c r="D52" s="1918"/>
      <c r="E52" s="1195"/>
      <c r="F52" s="1311">
        <f>F53</f>
        <v>200</v>
      </c>
    </row>
    <row r="53" spans="1:6" ht="18.75" customHeight="1">
      <c r="A53" s="1912" t="s">
        <v>1178</v>
      </c>
      <c r="B53" s="1939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C53" s="1913" t="str">
        <f>'Бюд.р.'!D516</f>
        <v>795 06 00</v>
      </c>
      <c r="D53" s="1918">
        <f>'Бюд.р.'!E240</f>
        <v>0</v>
      </c>
      <c r="E53" s="1195"/>
      <c r="F53" s="1309">
        <f>'Бюд.р.'!G243</f>
        <v>200</v>
      </c>
    </row>
    <row r="54" spans="1:3" ht="15">
      <c r="A54" s="1912" t="s">
        <v>1179</v>
      </c>
      <c r="B54" s="2363" t="str">
        <f>'Бюд.р.'!A321</f>
        <v>Ведомственная целевая программа по содействия развитию малого бизнеса на территории МО</v>
      </c>
      <c r="C54" s="2365" t="str">
        <f>'Бюд.р.'!D321</f>
        <v>795 07 00</v>
      </c>
    </row>
    <row r="55" spans="1:3" ht="15">
      <c r="A55" s="1912" t="s">
        <v>1180</v>
      </c>
      <c r="B55" s="2363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C55" s="2365" t="str">
        <f>'Бюд.р.'!D465</f>
        <v>795 08 00</v>
      </c>
    </row>
    <row r="56" spans="1:3" ht="28.5" customHeight="1">
      <c r="A56" s="1912" t="s">
        <v>1181</v>
      </c>
      <c r="B56" s="2364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56" s="2365" t="str">
        <f>'Бюд.р.'!D507</f>
        <v>795 09 00</v>
      </c>
    </row>
    <row r="57" spans="1:3" ht="45" customHeight="1">
      <c r="A57" s="1912" t="s">
        <v>1182</v>
      </c>
      <c r="B57" s="2364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57" s="2365" t="str">
        <f>'Бюд.р.'!D576</f>
        <v>795 10 00</v>
      </c>
    </row>
    <row r="58" spans="1:3" ht="46.5" customHeight="1">
      <c r="A58" s="1912" t="s">
        <v>1183</v>
      </c>
      <c r="B58" s="2364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58" s="2365" t="str">
        <f>'Бюд.р.'!D273</f>
        <v>795 11 00</v>
      </c>
    </row>
    <row r="59" spans="1:3" ht="14.25">
      <c r="A59" s="1909"/>
      <c r="B59" s="1909"/>
      <c r="C59" s="1909"/>
    </row>
    <row r="60" spans="1:3" ht="14.25">
      <c r="A60" s="1909"/>
      <c r="B60" s="1909"/>
      <c r="C60" s="1909"/>
    </row>
    <row r="61" spans="1:3" ht="14.25">
      <c r="A61" s="1909"/>
      <c r="B61" s="1909"/>
      <c r="C61" s="1909"/>
    </row>
    <row r="62" spans="1:3" ht="14.25">
      <c r="A62" s="1909"/>
      <c r="B62" s="1909"/>
      <c r="C62" s="1909"/>
    </row>
    <row r="63" spans="1:3" ht="14.25">
      <c r="A63" s="1909"/>
      <c r="B63" s="1909"/>
      <c r="C63" s="1909"/>
    </row>
    <row r="64" spans="1:3" ht="14.25">
      <c r="A64" s="1909"/>
      <c r="B64" s="1909"/>
      <c r="C64" s="1909"/>
    </row>
    <row r="65" spans="1:3" ht="14.25">
      <c r="A65" s="1909"/>
      <c r="B65" s="1909"/>
      <c r="C65" s="1909"/>
    </row>
    <row r="66" spans="1:3" ht="14.25">
      <c r="A66" s="1909"/>
      <c r="B66" s="1909"/>
      <c r="C66" s="1909"/>
    </row>
    <row r="67" spans="1:3" ht="14.25">
      <c r="A67" s="1909"/>
      <c r="B67" s="1909"/>
      <c r="C67" s="1909"/>
    </row>
    <row r="68" spans="1:3" ht="14.25">
      <c r="A68" s="1909"/>
      <c r="B68" s="1909"/>
      <c r="C68" s="1909"/>
    </row>
    <row r="69" spans="1:3" ht="14.25">
      <c r="A69" s="1909"/>
      <c r="B69" s="1909"/>
      <c r="C69" s="1909"/>
    </row>
    <row r="70" spans="1:3" ht="14.25">
      <c r="A70" s="1909"/>
      <c r="B70" s="1909"/>
      <c r="C70" s="1909"/>
    </row>
    <row r="71" spans="1:3" ht="14.25">
      <c r="A71" s="1909"/>
      <c r="B71" s="1909"/>
      <c r="C71" s="1909"/>
    </row>
    <row r="72" spans="1:3" ht="14.25">
      <c r="A72" s="1909"/>
      <c r="B72" s="1909"/>
      <c r="C72" s="1909"/>
    </row>
    <row r="73" spans="1:3" ht="14.25">
      <c r="A73" s="1909"/>
      <c r="B73" s="1909"/>
      <c r="C73" s="1909"/>
    </row>
    <row r="74" spans="1:3" ht="14.25">
      <c r="A74" s="1909"/>
      <c r="B74" s="1909"/>
      <c r="C74" s="1909"/>
    </row>
    <row r="75" spans="1:3" ht="14.25">
      <c r="A75" s="1909"/>
      <c r="B75" s="1909"/>
      <c r="C75" s="1909"/>
    </row>
    <row r="76" spans="1:3" ht="14.25">
      <c r="A76" s="1909"/>
      <c r="B76" s="1909"/>
      <c r="C76" s="1909"/>
    </row>
    <row r="77" spans="1:3" ht="14.25">
      <c r="A77" s="1909"/>
      <c r="B77" s="1909"/>
      <c r="C77" s="1909"/>
    </row>
    <row r="78" spans="1:3" ht="14.25">
      <c r="A78" s="1909"/>
      <c r="B78" s="1909"/>
      <c r="C78" s="1909"/>
    </row>
    <row r="79" spans="1:3" ht="14.25">
      <c r="A79" s="1909"/>
      <c r="B79" s="1909"/>
      <c r="C79" s="1909"/>
    </row>
    <row r="80" spans="1:3" ht="14.25">
      <c r="A80" s="1909"/>
      <c r="B80" s="1909"/>
      <c r="C80" s="1909"/>
    </row>
    <row r="81" spans="1:3" ht="14.25">
      <c r="A81" s="1909"/>
      <c r="B81" s="1909"/>
      <c r="C81" s="1909"/>
    </row>
    <row r="82" spans="1:3" ht="14.25">
      <c r="A82" s="1909"/>
      <c r="B82" s="1909"/>
      <c r="C82" s="1909"/>
    </row>
    <row r="83" spans="1:3" ht="14.25">
      <c r="A83" s="1909"/>
      <c r="B83" s="1909"/>
      <c r="C83" s="1909"/>
    </row>
    <row r="84" spans="1:3" ht="14.25">
      <c r="A84" s="1909"/>
      <c r="B84" s="1909"/>
      <c r="C84" s="1909"/>
    </row>
    <row r="85" spans="1:3" ht="14.25">
      <c r="A85" s="1909"/>
      <c r="B85" s="1909"/>
      <c r="C85" s="1909"/>
    </row>
    <row r="86" spans="1:3" ht="14.25">
      <c r="A86" s="1909"/>
      <c r="B86" s="1909"/>
      <c r="C86" s="1909"/>
    </row>
    <row r="87" spans="1:3" ht="14.25">
      <c r="A87" s="1909"/>
      <c r="B87" s="1909"/>
      <c r="C87" s="1909"/>
    </row>
    <row r="88" spans="1:3" ht="14.25">
      <c r="A88" s="1909"/>
      <c r="B88" s="1909"/>
      <c r="C88" s="1909"/>
    </row>
    <row r="89" spans="1:3" ht="14.25">
      <c r="A89" s="1909"/>
      <c r="B89" s="1909"/>
      <c r="C89" s="1909"/>
    </row>
    <row r="90" spans="1:3" ht="14.25">
      <c r="A90" s="1909"/>
      <c r="B90" s="1909"/>
      <c r="C90" s="1909"/>
    </row>
    <row r="91" spans="1:3" ht="14.25">
      <c r="A91" s="1909"/>
      <c r="B91" s="1909"/>
      <c r="C91" s="1909"/>
    </row>
    <row r="92" spans="1:3" ht="14.25">
      <c r="A92" s="1909"/>
      <c r="B92" s="1909"/>
      <c r="C92" s="1909"/>
    </row>
    <row r="93" spans="1:3" ht="14.25">
      <c r="A93" s="1909"/>
      <c r="B93" s="1909"/>
      <c r="C93" s="1909"/>
    </row>
    <row r="94" spans="1:3" ht="14.25">
      <c r="A94" s="1909"/>
      <c r="B94" s="1909"/>
      <c r="C94" s="1909"/>
    </row>
    <row r="95" spans="1:3" ht="14.25">
      <c r="A95" s="1909"/>
      <c r="B95" s="1909"/>
      <c r="C95" s="1909"/>
    </row>
    <row r="96" spans="1:3" ht="14.25">
      <c r="A96" s="1909"/>
      <c r="B96" s="1909"/>
      <c r="C96" s="1909"/>
    </row>
    <row r="97" spans="1:3" ht="14.25">
      <c r="A97" s="1909"/>
      <c r="B97" s="1909"/>
      <c r="C97" s="1909"/>
    </row>
    <row r="98" spans="1:3" ht="14.25">
      <c r="A98" s="1909"/>
      <c r="B98" s="1909"/>
      <c r="C98" s="1909"/>
    </row>
    <row r="99" spans="1:3" ht="14.25">
      <c r="A99" s="1909"/>
      <c r="B99" s="1909"/>
      <c r="C99" s="1909"/>
    </row>
    <row r="100" spans="1:3" ht="14.25">
      <c r="A100" s="1909"/>
      <c r="B100" s="1909"/>
      <c r="C100" s="1909"/>
    </row>
    <row r="101" spans="1:3" ht="14.25">
      <c r="A101" s="1909"/>
      <c r="B101" s="1909"/>
      <c r="C101" s="1909"/>
    </row>
    <row r="102" spans="1:3" ht="14.25">
      <c r="A102" s="1909"/>
      <c r="B102" s="1909"/>
      <c r="C102" s="1909"/>
    </row>
    <row r="103" spans="1:3" ht="14.25">
      <c r="A103" s="1909"/>
      <c r="B103" s="1909"/>
      <c r="C103" s="1909"/>
    </row>
    <row r="104" spans="1:3" ht="14.25">
      <c r="A104" s="1909"/>
      <c r="B104" s="1909"/>
      <c r="C104" s="1909"/>
    </row>
    <row r="105" spans="1:3" ht="14.25">
      <c r="A105" s="1909"/>
      <c r="B105" s="1909"/>
      <c r="C105" s="1909"/>
    </row>
    <row r="106" spans="1:3" ht="14.25">
      <c r="A106" s="1909"/>
      <c r="B106" s="1909"/>
      <c r="C106" s="1909"/>
    </row>
    <row r="107" spans="1:3" ht="14.25">
      <c r="A107" s="1909"/>
      <c r="B107" s="1909"/>
      <c r="C107" s="1909"/>
    </row>
    <row r="108" spans="1:3" ht="14.25">
      <c r="A108" s="1909"/>
      <c r="B108" s="1909"/>
      <c r="C108" s="1909"/>
    </row>
    <row r="109" spans="1:3" ht="14.25">
      <c r="A109" s="1909"/>
      <c r="B109" s="1909"/>
      <c r="C109" s="1909"/>
    </row>
    <row r="110" spans="1:3" ht="14.25">
      <c r="A110" s="1909"/>
      <c r="B110" s="1909"/>
      <c r="C110" s="1909"/>
    </row>
    <row r="111" spans="1:3" ht="14.25">
      <c r="A111" s="1909"/>
      <c r="B111" s="1909"/>
      <c r="C111" s="1909"/>
    </row>
    <row r="112" spans="1:3" ht="14.25">
      <c r="A112" s="1909"/>
      <c r="B112" s="1909"/>
      <c r="C112" s="1909"/>
    </row>
    <row r="113" spans="1:3" ht="14.25">
      <c r="A113" s="1909"/>
      <c r="B113" s="1909"/>
      <c r="C113" s="1909"/>
    </row>
    <row r="114" spans="1:3" ht="14.25">
      <c r="A114" s="1909"/>
      <c r="B114" s="1909"/>
      <c r="C114" s="1909"/>
    </row>
    <row r="115" spans="1:3" ht="14.25">
      <c r="A115" s="1909"/>
      <c r="B115" s="1909"/>
      <c r="C115" s="1909"/>
    </row>
    <row r="116" spans="1:3" ht="14.25">
      <c r="A116" s="1909"/>
      <c r="B116" s="1909"/>
      <c r="C116" s="1909"/>
    </row>
    <row r="117" spans="1:3" ht="14.25">
      <c r="A117" s="1909"/>
      <c r="B117" s="1909"/>
      <c r="C117" s="1909"/>
    </row>
    <row r="118" spans="1:3" ht="14.25">
      <c r="A118" s="1909"/>
      <c r="B118" s="1909"/>
      <c r="C118" s="1909"/>
    </row>
    <row r="119" spans="1:3" ht="14.25">
      <c r="A119" s="1909"/>
      <c r="B119" s="1909"/>
      <c r="C119" s="1909"/>
    </row>
    <row r="120" spans="1:3" ht="14.25">
      <c r="A120" s="1909"/>
      <c r="B120" s="1909"/>
      <c r="C120" s="1909"/>
    </row>
    <row r="121" spans="1:3" ht="14.25">
      <c r="A121" s="1909"/>
      <c r="B121" s="1909"/>
      <c r="C121" s="1909"/>
    </row>
    <row r="122" spans="1:3" ht="14.25">
      <c r="A122" s="1909"/>
      <c r="B122" s="1909"/>
      <c r="C122" s="1909"/>
    </row>
    <row r="123" spans="1:3" ht="14.25">
      <c r="A123" s="1909"/>
      <c r="B123" s="1909"/>
      <c r="C123" s="1909"/>
    </row>
    <row r="124" spans="1:3" ht="14.25">
      <c r="A124" s="1909"/>
      <c r="B124" s="1909"/>
      <c r="C124" s="1909"/>
    </row>
    <row r="125" spans="1:3" ht="14.25">
      <c r="A125" s="1909"/>
      <c r="B125" s="1909"/>
      <c r="C125" s="1909"/>
    </row>
    <row r="126" spans="1:3" ht="14.25">
      <c r="A126" s="1909"/>
      <c r="B126" s="1909"/>
      <c r="C126" s="1909"/>
    </row>
    <row r="127" spans="1:3" ht="14.25">
      <c r="A127" s="1909"/>
      <c r="B127" s="1909"/>
      <c r="C127" s="1909"/>
    </row>
    <row r="128" spans="1:3" ht="14.25">
      <c r="A128" s="1909"/>
      <c r="B128" s="1909"/>
      <c r="C128" s="1909"/>
    </row>
    <row r="129" spans="1:3" ht="14.25">
      <c r="A129" s="1909"/>
      <c r="B129" s="1909"/>
      <c r="C129" s="1909"/>
    </row>
    <row r="130" spans="1:3" ht="14.25">
      <c r="A130" s="1909"/>
      <c r="B130" s="1909"/>
      <c r="C130" s="1909"/>
    </row>
    <row r="131" spans="1:3" ht="14.25">
      <c r="A131" s="1909"/>
      <c r="B131" s="1909"/>
      <c r="C131" s="1909"/>
    </row>
    <row r="132" spans="1:3" ht="14.25">
      <c r="A132" s="1909"/>
      <c r="B132" s="1909"/>
      <c r="C132" s="1909"/>
    </row>
    <row r="133" spans="1:3" ht="14.25">
      <c r="A133" s="1909"/>
      <c r="B133" s="1909"/>
      <c r="C133" s="1909"/>
    </row>
    <row r="134" spans="1:3" ht="14.25">
      <c r="A134" s="1909"/>
      <c r="B134" s="1909"/>
      <c r="C134" s="1909"/>
    </row>
    <row r="135" spans="1:3" ht="14.25">
      <c r="A135" s="1909"/>
      <c r="B135" s="1909"/>
      <c r="C135" s="1909"/>
    </row>
    <row r="136" spans="1:3" ht="14.25">
      <c r="A136" s="1909"/>
      <c r="B136" s="1909"/>
      <c r="C136" s="1909"/>
    </row>
    <row r="137" spans="1:3" ht="14.25">
      <c r="A137" s="1909"/>
      <c r="B137" s="1909"/>
      <c r="C137" s="1909"/>
    </row>
    <row r="138" spans="1:3" ht="14.25">
      <c r="A138" s="1909"/>
      <c r="B138" s="1909"/>
      <c r="C138" s="1909"/>
    </row>
    <row r="139" spans="1:3" ht="14.25">
      <c r="A139" s="1909"/>
      <c r="B139" s="1909"/>
      <c r="C139" s="1909"/>
    </row>
    <row r="140" spans="1:3" ht="14.25">
      <c r="A140" s="1909"/>
      <c r="B140" s="1909"/>
      <c r="C140" s="1909"/>
    </row>
    <row r="141" spans="1:3" ht="14.25">
      <c r="A141" s="1909"/>
      <c r="B141" s="1909"/>
      <c r="C141" s="1909"/>
    </row>
    <row r="142" spans="1:3" ht="14.25">
      <c r="A142" s="1909"/>
      <c r="B142" s="1909"/>
      <c r="C142" s="1909"/>
    </row>
    <row r="143" spans="1:3" ht="14.25">
      <c r="A143" s="1909"/>
      <c r="B143" s="1909"/>
      <c r="C143" s="1909"/>
    </row>
    <row r="144" spans="1:3" ht="14.25">
      <c r="A144" s="1909"/>
      <c r="B144" s="1909"/>
      <c r="C144" s="1909"/>
    </row>
    <row r="145" spans="1:3" ht="14.25">
      <c r="A145" s="1909"/>
      <c r="B145" s="1909"/>
      <c r="C145" s="1909"/>
    </row>
    <row r="146" spans="1:3" ht="14.25">
      <c r="A146" s="1909"/>
      <c r="B146" s="1909"/>
      <c r="C146" s="1909"/>
    </row>
    <row r="147" spans="1:3" ht="14.25">
      <c r="A147" s="1909"/>
      <c r="B147" s="1909"/>
      <c r="C147" s="1909"/>
    </row>
    <row r="148" spans="1:3" ht="14.25">
      <c r="A148" s="1909"/>
      <c r="B148" s="1909"/>
      <c r="C148" s="1909"/>
    </row>
    <row r="149" spans="1:3" ht="14.25">
      <c r="A149" s="1909"/>
      <c r="B149" s="1909"/>
      <c r="C149" s="1909"/>
    </row>
    <row r="150" spans="1:3" ht="14.25">
      <c r="A150" s="1909"/>
      <c r="B150" s="1909"/>
      <c r="C150" s="1909"/>
    </row>
    <row r="151" spans="1:3" ht="14.25">
      <c r="A151" s="1909"/>
      <c r="B151" s="1909"/>
      <c r="C151" s="1909"/>
    </row>
    <row r="152" spans="1:3" ht="14.25">
      <c r="A152" s="1909"/>
      <c r="B152" s="1909"/>
      <c r="C152" s="1909"/>
    </row>
    <row r="153" spans="1:3" ht="14.25">
      <c r="A153" s="1909"/>
      <c r="B153" s="1909"/>
      <c r="C153" s="1909"/>
    </row>
    <row r="154" spans="1:3" ht="14.25">
      <c r="A154" s="1909"/>
      <c r="B154" s="1909"/>
      <c r="C154" s="1909"/>
    </row>
    <row r="155" spans="1:3" ht="14.25">
      <c r="A155" s="1909"/>
      <c r="B155" s="1909"/>
      <c r="C155" s="1909"/>
    </row>
  </sheetData>
  <sheetProtection/>
  <mergeCells count="5">
    <mergeCell ref="A5:F5"/>
    <mergeCell ref="A2:F2"/>
    <mergeCell ref="B3:F3"/>
    <mergeCell ref="B4:C4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37">
      <selection activeCell="B116" sqref="B116"/>
    </sheetView>
  </sheetViews>
  <sheetFormatPr defaultColWidth="9.00390625" defaultRowHeight="12.75"/>
  <cols>
    <col min="1" max="1" width="6.625" style="0" customWidth="1"/>
    <col min="2" max="2" width="61.625" style="0" customWidth="1"/>
    <col min="3" max="3" width="4.875" style="0" customWidth="1"/>
    <col min="4" max="4" width="4.375" style="0" customWidth="1"/>
    <col min="5" max="5" width="9.25390625" style="0" customWidth="1"/>
    <col min="6" max="6" width="5.00390625" style="0" customWidth="1"/>
    <col min="7" max="7" width="8.625" style="0" customWidth="1"/>
  </cols>
  <sheetData>
    <row r="1" spans="1:7" ht="13.5">
      <c r="A1" s="3127"/>
      <c r="B1" s="3127"/>
      <c r="C1" s="3122" t="s">
        <v>1193</v>
      </c>
      <c r="D1" s="3122"/>
      <c r="E1" s="3122"/>
      <c r="F1" s="3122"/>
      <c r="G1" s="3122"/>
    </row>
    <row r="2" spans="1:7" ht="13.5">
      <c r="A2" s="3122" t="s">
        <v>427</v>
      </c>
      <c r="B2" s="3122"/>
      <c r="C2" s="3122"/>
      <c r="D2" s="3122"/>
      <c r="E2" s="3122"/>
      <c r="F2" s="3122"/>
      <c r="G2" s="3122"/>
    </row>
    <row r="3" spans="1:7" ht="13.5">
      <c r="A3" s="2698"/>
      <c r="B3" s="3122" t="s">
        <v>1352</v>
      </c>
      <c r="C3" s="3123"/>
      <c r="D3" s="3123"/>
      <c r="E3" s="3123"/>
      <c r="F3" s="3123"/>
      <c r="G3" s="3123"/>
    </row>
    <row r="4" spans="1:7" ht="13.5">
      <c r="A4" s="2698"/>
      <c r="B4" s="3122" t="s">
        <v>180</v>
      </c>
      <c r="C4" s="3122"/>
      <c r="D4" s="3122"/>
      <c r="E4" s="3122"/>
      <c r="F4" s="3122"/>
      <c r="G4" s="3122"/>
    </row>
    <row r="5" spans="1:7" ht="13.5">
      <c r="A5" s="2698"/>
      <c r="B5" s="3122" t="s">
        <v>427</v>
      </c>
      <c r="C5" s="3122"/>
      <c r="D5" s="3122"/>
      <c r="E5" s="3122"/>
      <c r="F5" s="3122"/>
      <c r="G5" s="3122"/>
    </row>
    <row r="6" spans="1:7" ht="13.5">
      <c r="A6" s="2698"/>
      <c r="B6" s="3122" t="s">
        <v>1383</v>
      </c>
      <c r="C6" s="3123"/>
      <c r="D6" s="3123"/>
      <c r="E6" s="3123"/>
      <c r="F6" s="3123"/>
      <c r="G6" s="3123"/>
    </row>
    <row r="7" spans="1:7" ht="13.5">
      <c r="A7" s="2698"/>
      <c r="B7" s="2697"/>
      <c r="C7" s="3122" t="s">
        <v>1193</v>
      </c>
      <c r="D7" s="3122"/>
      <c r="E7" s="3122"/>
      <c r="F7" s="3122"/>
      <c r="G7" s="3122"/>
    </row>
    <row r="8" spans="1:7" ht="13.5">
      <c r="A8" s="3122" t="s">
        <v>427</v>
      </c>
      <c r="B8" s="3122"/>
      <c r="C8" s="3122"/>
      <c r="D8" s="3122"/>
      <c r="E8" s="3122"/>
      <c r="F8" s="3122"/>
      <c r="G8" s="3122"/>
    </row>
    <row r="9" spans="1:7" ht="13.5">
      <c r="A9" s="2698"/>
      <c r="B9" s="3122" t="s">
        <v>1402</v>
      </c>
      <c r="C9" s="3123"/>
      <c r="D9" s="3123"/>
      <c r="E9" s="3123"/>
      <c r="F9" s="3123"/>
      <c r="G9" s="3123"/>
    </row>
    <row r="10" spans="1:7" ht="60" customHeight="1">
      <c r="A10" s="3124" t="s">
        <v>1327</v>
      </c>
      <c r="B10" s="3124"/>
      <c r="C10" s="3124"/>
      <c r="D10" s="3124"/>
      <c r="E10" s="3124"/>
      <c r="F10" s="3124"/>
      <c r="G10" s="3124"/>
    </row>
    <row r="11" spans="1:7" ht="15.75">
      <c r="A11" s="3125" t="s">
        <v>1280</v>
      </c>
      <c r="B11" s="3125"/>
      <c r="C11" s="3125"/>
      <c r="D11" s="3125"/>
      <c r="E11" s="3125"/>
      <c r="F11" s="3125"/>
      <c r="G11" s="3125"/>
    </row>
    <row r="12" spans="1:7" ht="14.25" customHeight="1" thickBot="1">
      <c r="A12" s="152"/>
      <c r="B12" s="3126" t="s">
        <v>253</v>
      </c>
      <c r="C12" s="3126"/>
      <c r="D12" s="3126"/>
      <c r="E12" s="3126"/>
      <c r="F12" s="3126"/>
      <c r="G12" s="3126"/>
    </row>
    <row r="13" spans="1:7" ht="13.5" thickBot="1">
      <c r="A13" s="1991" t="s">
        <v>828</v>
      </c>
      <c r="B13" s="1992" t="s">
        <v>254</v>
      </c>
      <c r="C13" s="1992" t="s">
        <v>1224</v>
      </c>
      <c r="D13" s="1992" t="s">
        <v>1225</v>
      </c>
      <c r="E13" s="1992" t="s">
        <v>1226</v>
      </c>
      <c r="F13" s="1992" t="s">
        <v>1227</v>
      </c>
      <c r="G13" s="2070" t="s">
        <v>303</v>
      </c>
    </row>
    <row r="14" spans="1:7" ht="13.5" thickBot="1">
      <c r="A14" s="2075" t="s">
        <v>727</v>
      </c>
      <c r="B14" s="2076">
        <v>2</v>
      </c>
      <c r="C14" s="2076" t="s">
        <v>471</v>
      </c>
      <c r="D14" s="2076" t="s">
        <v>680</v>
      </c>
      <c r="E14" s="2076" t="s">
        <v>326</v>
      </c>
      <c r="F14" s="2076" t="s">
        <v>327</v>
      </c>
      <c r="G14" s="2077">
        <v>7</v>
      </c>
    </row>
    <row r="15" spans="1:7" ht="16.5" customHeight="1">
      <c r="A15" s="2071" t="s">
        <v>727</v>
      </c>
      <c r="B15" s="2072" t="s">
        <v>111</v>
      </c>
      <c r="C15" s="2073" t="s">
        <v>1194</v>
      </c>
      <c r="D15" s="1990"/>
      <c r="E15" s="1990"/>
      <c r="F15" s="2074"/>
      <c r="G15" s="2477">
        <f>G16+G19+G28+G38+G44+G47</f>
        <v>33517.895</v>
      </c>
    </row>
    <row r="16" spans="1:7" ht="27.75" customHeight="1">
      <c r="A16" s="2002" t="s">
        <v>280</v>
      </c>
      <c r="B16" s="2029" t="str">
        <f>'Бюд.р.'!A59</f>
        <v>Функционирование высшего должностного лица субъекта Российской Федерации и муниципального образования</v>
      </c>
      <c r="C16" s="2016" t="s">
        <v>1194</v>
      </c>
      <c r="D16" s="1986" t="s">
        <v>1195</v>
      </c>
      <c r="E16" s="1986"/>
      <c r="F16" s="2050"/>
      <c r="G16" s="1839">
        <f>G17</f>
        <v>1117.234</v>
      </c>
    </row>
    <row r="17" spans="1:7" ht="15.75" customHeight="1">
      <c r="A17" s="2004" t="s">
        <v>198</v>
      </c>
      <c r="B17" s="2078" t="str">
        <f>'Бюд.р.'!A60</f>
        <v>ГЛАВА МУНИЦИПАЛЬНОГО ОБРАЗОВАНИЯ</v>
      </c>
      <c r="C17" s="2019" t="s">
        <v>1194</v>
      </c>
      <c r="D17" s="1978" t="s">
        <v>1195</v>
      </c>
      <c r="E17" s="1978" t="str">
        <f>'Бюд.р.'!D60</f>
        <v>002  01 00</v>
      </c>
      <c r="F17" s="2052"/>
      <c r="G17" s="1997">
        <f>G18</f>
        <v>1117.234</v>
      </c>
    </row>
    <row r="18" spans="1:7" ht="39" customHeight="1">
      <c r="A18" s="2003" t="s">
        <v>199</v>
      </c>
      <c r="B18" s="2030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" s="2018" t="str">
        <f>C17</f>
        <v>01</v>
      </c>
      <c r="D18" s="1975" t="str">
        <f>D17</f>
        <v>02</v>
      </c>
      <c r="E18" s="1975" t="str">
        <f>E17</f>
        <v>002  01 00</v>
      </c>
      <c r="F18" s="2051">
        <f>'Бюд.р.'!F61</f>
        <v>100</v>
      </c>
      <c r="G18" s="1971">
        <f>'Бюд.р.'!H61</f>
        <v>1117.234</v>
      </c>
    </row>
    <row r="19" spans="1:7" ht="36.75" customHeight="1">
      <c r="A19" s="2002" t="s">
        <v>268</v>
      </c>
      <c r="B19" s="2031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9" s="2016" t="s">
        <v>1194</v>
      </c>
      <c r="D19" s="1986" t="s">
        <v>1196</v>
      </c>
      <c r="E19" s="1986"/>
      <c r="F19" s="2050"/>
      <c r="G19" s="1839">
        <f>G20+G22+G24</f>
        <v>3260.7660000000005</v>
      </c>
    </row>
    <row r="20" spans="1:7" ht="24" customHeight="1">
      <c r="A20" s="2004" t="s">
        <v>728</v>
      </c>
      <c r="B20" s="2032" t="str">
        <f>'Бюд.р.'!A68</f>
        <v>ДЕПУТАТЫ, ОСУЩЕСТВЛЯЮЩИЕ СВОЮ ДЕЯТЕЛЬНОСТЬ НА ПОСТОЯННОЙ ОСНОВЕ</v>
      </c>
      <c r="C20" s="2019" t="str">
        <f>C18</f>
        <v>01</v>
      </c>
      <c r="D20" s="1978" t="str">
        <f aca="true" t="shared" si="0" ref="D20:D26">D19</f>
        <v>03</v>
      </c>
      <c r="E20" s="1979" t="str">
        <f>'Бюд.р.'!D68</f>
        <v>002  03 01</v>
      </c>
      <c r="F20" s="2052"/>
      <c r="G20" s="1997">
        <f>G21</f>
        <v>960.6400000000001</v>
      </c>
    </row>
    <row r="21" spans="1:7" ht="39.75" customHeight="1">
      <c r="A21" s="2005" t="s">
        <v>729</v>
      </c>
      <c r="B21" s="2033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" s="2018" t="str">
        <f aca="true" t="shared" si="1" ref="C21:C26">C20</f>
        <v>01</v>
      </c>
      <c r="D21" s="1970" t="str">
        <f t="shared" si="0"/>
        <v>03</v>
      </c>
      <c r="E21" s="1970" t="str">
        <f>E20</f>
        <v>002  03 01</v>
      </c>
      <c r="F21" s="1747">
        <f>'Бюд.р.'!F69</f>
        <v>100</v>
      </c>
      <c r="G21" s="1971">
        <f>'Бюд.р.'!H69</f>
        <v>960.6400000000001</v>
      </c>
    </row>
    <row r="22" spans="1:7" ht="22.5">
      <c r="A22" s="2004" t="s">
        <v>1212</v>
      </c>
      <c r="B22" s="2032" t="str">
        <f>'Бюд.р.'!A77</f>
        <v>КОМПЕСАЦИЯ  ДЕПУТАТАМ, ОСУЩЕСТВЛЯЮЩИМ СВОИ ПОЛНОМОЧИЯ НА НЕПОСТОЯННОЙ ОСНОВЕ</v>
      </c>
      <c r="C22" s="2019" t="str">
        <f t="shared" si="1"/>
        <v>01</v>
      </c>
      <c r="D22" s="1979" t="str">
        <f t="shared" si="0"/>
        <v>03</v>
      </c>
      <c r="E22" s="1979" t="str">
        <f>'Бюд.р.'!D77</f>
        <v>002  03 02</v>
      </c>
      <c r="F22" s="2053"/>
      <c r="G22" s="1997">
        <f>G23</f>
        <v>264.6</v>
      </c>
    </row>
    <row r="23" spans="1:7" ht="38.25" customHeight="1">
      <c r="A23" s="2003" t="s">
        <v>1228</v>
      </c>
      <c r="B23" s="2033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" s="2018" t="str">
        <f t="shared" si="1"/>
        <v>01</v>
      </c>
      <c r="D23" s="1970" t="str">
        <f t="shared" si="0"/>
        <v>03</v>
      </c>
      <c r="E23" s="1970" t="str">
        <f>E22</f>
        <v>002  03 02</v>
      </c>
      <c r="F23" s="1747">
        <f>'Бюд.р.'!F78</f>
        <v>100</v>
      </c>
      <c r="G23" s="1971">
        <f>'Бюд.р.'!H78</f>
        <v>264.6</v>
      </c>
    </row>
    <row r="24" spans="1:7" ht="16.5" customHeight="1">
      <c r="A24" s="2004" t="s">
        <v>1213</v>
      </c>
      <c r="B24" s="2032" t="str">
        <f>'Бюд.р.'!A82</f>
        <v>АППАРАТ ПРЕДСТАВИТЕЛЬНОГО ОРГАНА МУНИЦИПАЛЬНОГО ОБРАЗОВАНИЯ</v>
      </c>
      <c r="C24" s="2017" t="str">
        <f t="shared" si="1"/>
        <v>01</v>
      </c>
      <c r="D24" s="1981" t="str">
        <f t="shared" si="0"/>
        <v>03</v>
      </c>
      <c r="E24" s="1981" t="str">
        <f>'Бюд.р.'!D82</f>
        <v>002  04 00</v>
      </c>
      <c r="F24" s="2054"/>
      <c r="G24" s="1985">
        <f>SUM(G25:G27)</f>
        <v>2035.5260000000003</v>
      </c>
    </row>
    <row r="25" spans="1:7" ht="36.75" customHeight="1">
      <c r="A25" s="2003" t="s">
        <v>1229</v>
      </c>
      <c r="B25" s="2034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5" s="2018" t="str">
        <f t="shared" si="1"/>
        <v>01</v>
      </c>
      <c r="D25" s="1970" t="str">
        <f t="shared" si="0"/>
        <v>03</v>
      </c>
      <c r="E25" s="1970" t="str">
        <f>E24</f>
        <v>002  04 00</v>
      </c>
      <c r="F25" s="1747">
        <f>'Бюд.р.'!F83</f>
        <v>100</v>
      </c>
      <c r="G25" s="1971">
        <f>'Бюд.р.'!H83</f>
        <v>817.6780000000001</v>
      </c>
    </row>
    <row r="26" spans="1:7" ht="13.5" customHeight="1">
      <c r="A26" s="2003" t="s">
        <v>1230</v>
      </c>
      <c r="B26" s="2034" t="str">
        <f>'Бюд.р.'!A89</f>
        <v>Закупка товаров, работ и услуг  для государственных (муниципальных) нужд</v>
      </c>
      <c r="C26" s="2018" t="str">
        <f t="shared" si="1"/>
        <v>01</v>
      </c>
      <c r="D26" s="1970" t="str">
        <f t="shared" si="0"/>
        <v>03</v>
      </c>
      <c r="E26" s="1970" t="str">
        <f>E25</f>
        <v>002  04 00</v>
      </c>
      <c r="F26" s="1747">
        <f>'Бюд.р.'!F89</f>
        <v>200</v>
      </c>
      <c r="G26" s="1971">
        <f>'Бюд.р.'!H89</f>
        <v>1214.6490000000001</v>
      </c>
    </row>
    <row r="27" spans="1:7" ht="13.5" customHeight="1">
      <c r="A27" s="2003" t="s">
        <v>1274</v>
      </c>
      <c r="B27" s="2034" t="str">
        <f>'Бюд.р.'!A99</f>
        <v>Иные бюджетные ассигнования</v>
      </c>
      <c r="C27" s="2018" t="str">
        <f>C26</f>
        <v>01</v>
      </c>
      <c r="D27" s="1970" t="str">
        <f>D26</f>
        <v>03</v>
      </c>
      <c r="E27" s="1970" t="str">
        <f>'Бюд.р.'!D99</f>
        <v>002  04 00</v>
      </c>
      <c r="F27" s="1747">
        <f>'Бюд.р.'!F99</f>
        <v>800</v>
      </c>
      <c r="G27" s="1971">
        <f>'Бюд.р.'!H99</f>
        <v>3.199</v>
      </c>
    </row>
    <row r="28" spans="1:7" ht="37.5" customHeight="1">
      <c r="A28" s="2002" t="s">
        <v>679</v>
      </c>
      <c r="B28" s="2035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8" s="2016" t="s">
        <v>1194</v>
      </c>
      <c r="D28" s="1986" t="s">
        <v>1197</v>
      </c>
      <c r="E28" s="1774"/>
      <c r="F28" s="1830"/>
      <c r="G28" s="1839">
        <f>G29+G31+G36</f>
        <v>26584.388999999996</v>
      </c>
    </row>
    <row r="29" spans="1:7" ht="12.75" customHeight="1">
      <c r="A29" s="2004" t="s">
        <v>442</v>
      </c>
      <c r="B29" s="2036" t="str">
        <f>'Бюд.р.'!A151</f>
        <v>ГЛАВА МЕСТНОЙ АДМИНИСТРАЦИИ</v>
      </c>
      <c r="C29" s="2020" t="str">
        <f aca="true" t="shared" si="2" ref="C29:D31">C28</f>
        <v>01</v>
      </c>
      <c r="D29" s="1982" t="str">
        <f t="shared" si="2"/>
        <v>04</v>
      </c>
      <c r="E29" s="1983" t="str">
        <f>'Бюд.р.'!D151</f>
        <v>002  05 00</v>
      </c>
      <c r="F29" s="2055"/>
      <c r="G29" s="1984">
        <f>G30</f>
        <v>1117.234</v>
      </c>
    </row>
    <row r="30" spans="1:7" ht="34.5" customHeight="1">
      <c r="A30" s="2003" t="s">
        <v>702</v>
      </c>
      <c r="B30" s="2034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2018" t="str">
        <f t="shared" si="2"/>
        <v>01</v>
      </c>
      <c r="D30" s="1975" t="str">
        <f t="shared" si="2"/>
        <v>04</v>
      </c>
      <c r="E30" s="1970" t="str">
        <f>E29</f>
        <v>002  05 00</v>
      </c>
      <c r="F30" s="1747">
        <f>'Бюд.р.'!F152</f>
        <v>100</v>
      </c>
      <c r="G30" s="1971">
        <f>'Бюд.р.'!H152</f>
        <v>1117.234</v>
      </c>
    </row>
    <row r="31" spans="1:7" ht="26.25" customHeight="1">
      <c r="A31" s="2004" t="s">
        <v>1214</v>
      </c>
      <c r="B31" s="2037" t="str">
        <f>'Бюд.р.'!A158</f>
        <v>СОДЕРЖАНИЕ И ОБЕСПЕЧЕНИЕ ДЕЯТЕЛЬНОСТИ МЕСТНОЙ АДМИНИСТРАЦИИ ПО РЕШЕНИЮ ВОПРОСОВ МЕСТНОГО ЗНАЧЕНИЯ</v>
      </c>
      <c r="C31" s="2017" t="str">
        <f t="shared" si="2"/>
        <v>01</v>
      </c>
      <c r="D31" s="1977" t="str">
        <f t="shared" si="2"/>
        <v>04</v>
      </c>
      <c r="E31" s="1981" t="str">
        <f>'Бюд.р.'!D158</f>
        <v>002  06 01</v>
      </c>
      <c r="F31" s="2054"/>
      <c r="G31" s="1985">
        <f>SUM(G32:G35)</f>
        <v>25461.554999999997</v>
      </c>
    </row>
    <row r="32" spans="1:7" ht="33.75" customHeight="1">
      <c r="A32" s="2006" t="s">
        <v>1231</v>
      </c>
      <c r="B32" s="2034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2" s="2021" t="str">
        <f>C30</f>
        <v>01</v>
      </c>
      <c r="D32" s="1975" t="str">
        <f>D30</f>
        <v>04</v>
      </c>
      <c r="E32" s="1748" t="str">
        <f>'Бюд.р.'!D159</f>
        <v>002  06 01</v>
      </c>
      <c r="F32" s="1749">
        <f>'Бюд.р.'!F159</f>
        <v>100</v>
      </c>
      <c r="G32" s="1973">
        <f>'Бюд.р.'!H159</f>
        <v>19630.689</v>
      </c>
    </row>
    <row r="33" spans="1:7" ht="17.25" customHeight="1">
      <c r="A33" s="2006" t="s">
        <v>1232</v>
      </c>
      <c r="B33" s="2038" t="str">
        <f>'Бюд.р.'!A165</f>
        <v>Закупка товаров, работ и услуг  для государственных (муниципальных) нужд</v>
      </c>
      <c r="C33" s="2021" t="str">
        <f>C32</f>
        <v>01</v>
      </c>
      <c r="D33" s="1975" t="str">
        <f>D32</f>
        <v>04</v>
      </c>
      <c r="E33" s="1748" t="str">
        <f>E32</f>
        <v>002  06 01</v>
      </c>
      <c r="F33" s="1749">
        <f>'Бюд.р.'!F165</f>
        <v>200</v>
      </c>
      <c r="G33" s="1973">
        <f>'Бюд.р.'!H165</f>
        <v>5743.199</v>
      </c>
    </row>
    <row r="34" spans="1:7" ht="17.25" customHeight="1">
      <c r="A34" s="2006" t="s">
        <v>1233</v>
      </c>
      <c r="B34" s="2038" t="str">
        <f>'Бюд.р.'!A187</f>
        <v>Социальное обеспечение и иные выплаты населению</v>
      </c>
      <c r="C34" s="2021" t="s">
        <v>1194</v>
      </c>
      <c r="D34" s="1975" t="s">
        <v>1197</v>
      </c>
      <c r="E34" s="1748" t="s">
        <v>70</v>
      </c>
      <c r="F34" s="1749">
        <f>'Бюд.р.'!F187</f>
        <v>300</v>
      </c>
      <c r="G34" s="1973">
        <f>'Бюд.р.'!H187</f>
        <v>57.067</v>
      </c>
    </row>
    <row r="35" spans="1:7" ht="15.75" customHeight="1">
      <c r="A35" s="2006" t="s">
        <v>1309</v>
      </c>
      <c r="B35" s="2038" t="str">
        <f>'Бюд.р.'!A201</f>
        <v>Иные бюджетные ассигнования</v>
      </c>
      <c r="C35" s="2021" t="str">
        <f>C33</f>
        <v>01</v>
      </c>
      <c r="D35" s="1975" t="str">
        <f>D33</f>
        <v>04</v>
      </c>
      <c r="E35" s="1748" t="str">
        <f>E33</f>
        <v>002  06 01</v>
      </c>
      <c r="F35" s="1749">
        <f>'Бюд.р.'!F201</f>
        <v>800</v>
      </c>
      <c r="G35" s="1973">
        <f>'Бюд.р.'!H201</f>
        <v>30.6</v>
      </c>
    </row>
    <row r="36" spans="1:7" ht="35.25" customHeight="1">
      <c r="A36" s="2007" t="s">
        <v>1215</v>
      </c>
      <c r="B36" s="2039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36" s="2019" t="str">
        <f>C35</f>
        <v>01</v>
      </c>
      <c r="D36" s="1978" t="str">
        <f>D35</f>
        <v>04</v>
      </c>
      <c r="E36" s="1979" t="str">
        <f>'Бюд.р.'!D208</f>
        <v>002  80 10</v>
      </c>
      <c r="F36" s="2053"/>
      <c r="G36" s="1998">
        <f>G37</f>
        <v>5.6</v>
      </c>
    </row>
    <row r="37" spans="1:7" ht="16.5" customHeight="1">
      <c r="A37" s="2006" t="s">
        <v>1234</v>
      </c>
      <c r="B37" s="2038" t="str">
        <f>'Бюд.р.'!A209</f>
        <v>Закупка товаров, работ и услуг  для государственных (муниципальных) нужд</v>
      </c>
      <c r="C37" s="2021" t="str">
        <f>C36</f>
        <v>01</v>
      </c>
      <c r="D37" s="1975" t="str">
        <f>D36</f>
        <v>04</v>
      </c>
      <c r="E37" s="1748" t="str">
        <f>E36</f>
        <v>002  80 10</v>
      </c>
      <c r="F37" s="1749">
        <f>'Бюд.р.'!F209</f>
        <v>200</v>
      </c>
      <c r="G37" s="1973">
        <f>'Бюд.р.'!H209</f>
        <v>5.6</v>
      </c>
    </row>
    <row r="38" spans="1:7" ht="12.75" hidden="1">
      <c r="A38" s="2002" t="s">
        <v>441</v>
      </c>
      <c r="B38" s="2040" t="str">
        <f>'Бюд.р.'!A9</f>
        <v>Обеспечение проведения выборов и референдумов</v>
      </c>
      <c r="C38" s="2016" t="s">
        <v>1194</v>
      </c>
      <c r="D38" s="1986" t="s">
        <v>1199</v>
      </c>
      <c r="E38" s="1774"/>
      <c r="F38" s="1830"/>
      <c r="G38" s="1839">
        <f>G39+G42</f>
        <v>0</v>
      </c>
    </row>
    <row r="39" spans="1:7" ht="12.75" customHeight="1" hidden="1">
      <c r="A39" s="2004" t="s">
        <v>1211</v>
      </c>
      <c r="B39" s="2039" t="str">
        <f>'Бюд.р.'!A11</f>
        <v>Проведение выборов в представительные органы муниципального образования</v>
      </c>
      <c r="C39" s="2019" t="str">
        <f aca="true" t="shared" si="3" ref="C39:D41">C38</f>
        <v>01</v>
      </c>
      <c r="D39" s="1978" t="str">
        <f t="shared" si="3"/>
        <v>07</v>
      </c>
      <c r="E39" s="1979" t="str">
        <f>'Бюд.р.'!D11</f>
        <v>020 01 01</v>
      </c>
      <c r="F39" s="2053"/>
      <c r="G39" s="1998">
        <f>SUM(G40:G41)</f>
        <v>0</v>
      </c>
    </row>
    <row r="40" spans="1:7" ht="36.75" customHeight="1" hidden="1">
      <c r="A40" s="2006" t="s">
        <v>703</v>
      </c>
      <c r="B40" s="2038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0" s="2021" t="str">
        <f t="shared" si="3"/>
        <v>01</v>
      </c>
      <c r="D40" s="1976" t="str">
        <f t="shared" si="3"/>
        <v>07</v>
      </c>
      <c r="E40" s="1748" t="str">
        <f>E39</f>
        <v>020 01 01</v>
      </c>
      <c r="F40" s="1749">
        <f>'Бюд.р.'!F12</f>
        <v>100</v>
      </c>
      <c r="G40" s="1973">
        <f>'Бюд.р.'!H12</f>
        <v>0</v>
      </c>
    </row>
    <row r="41" spans="1:7" ht="15" customHeight="1" hidden="1">
      <c r="A41" s="2005" t="s">
        <v>1235</v>
      </c>
      <c r="B41" s="2034" t="str">
        <f>'Бюд.р.'!A15</f>
        <v>Закупка товаров, работ и услуг  для государственных (муниципальных) нужд</v>
      </c>
      <c r="C41" s="2018" t="str">
        <f t="shared" si="3"/>
        <v>01</v>
      </c>
      <c r="D41" s="1975" t="str">
        <f t="shared" si="3"/>
        <v>07</v>
      </c>
      <c r="E41" s="1974" t="str">
        <f>E40</f>
        <v>020 01 01</v>
      </c>
      <c r="F41" s="2056">
        <f>'Бюд.р.'!F15</f>
        <v>200</v>
      </c>
      <c r="G41" s="1971">
        <f>'Бюд.р.'!H15</f>
        <v>0</v>
      </c>
    </row>
    <row r="42" spans="1:7" ht="13.5" customHeight="1" hidden="1">
      <c r="A42" s="2004" t="s">
        <v>1223</v>
      </c>
      <c r="B42" s="2066" t="str">
        <f>'Бюд.р.'!A26</f>
        <v>Повышение правовой культуры избирателей и обучение организаторов выборов</v>
      </c>
      <c r="C42" s="2022" t="str">
        <f>C41</f>
        <v>01</v>
      </c>
      <c r="D42" s="1988" t="str">
        <f>D41</f>
        <v>07</v>
      </c>
      <c r="E42" s="1980" t="str">
        <f>'Бюд.р.'!D26</f>
        <v>020 01 03</v>
      </c>
      <c r="F42" s="2057"/>
      <c r="G42" s="1997">
        <f>G43</f>
        <v>0</v>
      </c>
    </row>
    <row r="43" spans="1:7" ht="17.25" customHeight="1" hidden="1">
      <c r="A43" s="2005" t="s">
        <v>1236</v>
      </c>
      <c r="B43" s="2067" t="str">
        <f>'Бюд.р.'!A27</f>
        <v>Закупка товаров, работ и услуг  для государственных (муниципальных) нужд</v>
      </c>
      <c r="C43" s="2018" t="str">
        <f>C42</f>
        <v>01</v>
      </c>
      <c r="D43" s="1975" t="str">
        <f>D42</f>
        <v>07</v>
      </c>
      <c r="E43" s="1974" t="str">
        <f>E42</f>
        <v>020 01 03</v>
      </c>
      <c r="F43" s="2056">
        <f>'Бюд.р.'!F27</f>
        <v>200</v>
      </c>
      <c r="G43" s="1971">
        <f>'Бюд.р.'!H27</f>
        <v>0</v>
      </c>
    </row>
    <row r="44" spans="1:7" ht="12.75">
      <c r="A44" s="2002" t="s">
        <v>441</v>
      </c>
      <c r="B44" s="2040" t="str">
        <f>'Бюд.р.'!A220</f>
        <v>Резервные фонды</v>
      </c>
      <c r="C44" s="2016" t="s">
        <v>1194</v>
      </c>
      <c r="D44" s="1774">
        <v>11</v>
      </c>
      <c r="E44" s="1987"/>
      <c r="F44" s="1830"/>
      <c r="G44" s="1839">
        <f>G45</f>
        <v>1279.516</v>
      </c>
    </row>
    <row r="45" spans="1:7" ht="12.75">
      <c r="A45" s="2008" t="s">
        <v>1211</v>
      </c>
      <c r="B45" s="2036" t="str">
        <f>'Бюд.р.'!A221</f>
        <v>Резервный фонд местной администрации</v>
      </c>
      <c r="C45" s="2019" t="str">
        <f>C44</f>
        <v>01</v>
      </c>
      <c r="D45" s="1979">
        <f>D44</f>
        <v>11</v>
      </c>
      <c r="E45" s="1979" t="str">
        <f>'Бюд.р.'!D221</f>
        <v>070 01 01</v>
      </c>
      <c r="F45" s="2053"/>
      <c r="G45" s="1997">
        <f>G46</f>
        <v>1279.516</v>
      </c>
    </row>
    <row r="46" spans="1:7" ht="12.75">
      <c r="A46" s="2003" t="s">
        <v>703</v>
      </c>
      <c r="B46" s="2034" t="str">
        <f>'Бюд.р.'!A222</f>
        <v>Иные бюджетные ассигнования</v>
      </c>
      <c r="C46" s="2018" t="str">
        <f>C45</f>
        <v>01</v>
      </c>
      <c r="D46" s="1970">
        <f>D45</f>
        <v>11</v>
      </c>
      <c r="E46" s="1974" t="str">
        <f>E45</f>
        <v>070 01 01</v>
      </c>
      <c r="F46" s="2058">
        <f>'Бюд.р.'!F222</f>
        <v>800</v>
      </c>
      <c r="G46" s="1971">
        <f>'Бюд.р.'!H222</f>
        <v>1279.516</v>
      </c>
    </row>
    <row r="47" spans="1:7" ht="12.75">
      <c r="A47" s="2002" t="s">
        <v>704</v>
      </c>
      <c r="B47" s="2035" t="str">
        <f>'Бюд.р.'!A226</f>
        <v>Другие общегосударственные вопросы</v>
      </c>
      <c r="C47" s="2016" t="s">
        <v>1194</v>
      </c>
      <c r="D47" s="1986" t="s">
        <v>518</v>
      </c>
      <c r="E47" s="1774"/>
      <c r="F47" s="1830"/>
      <c r="G47" s="1839">
        <f>G48+G50+G52+G54+G56+G60+G58</f>
        <v>1275.99</v>
      </c>
    </row>
    <row r="48" spans="1:7" ht="22.5">
      <c r="A48" s="2008" t="s">
        <v>705</v>
      </c>
      <c r="B48" s="2042" t="str">
        <f>'Бюд.р.'!A227</f>
        <v>ФОРМИРОВАНИЕ АРХИВНЫХ ФОНДОВ ОРГАНОВ МЕСТНОГО САМОУПРАВЛЕНИЯ,МУНИЦИПАЛЬНЫХ ПРЕДПРИЯТИЙ И УЧРЕЖДЕНИЙ</v>
      </c>
      <c r="C48" s="2019" t="str">
        <f aca="true" t="shared" si="4" ref="C48:C55">C47</f>
        <v>01</v>
      </c>
      <c r="D48" s="1978" t="str">
        <f aca="true" t="shared" si="5" ref="D48:D55">D47</f>
        <v>13</v>
      </c>
      <c r="E48" s="1980" t="str">
        <f>'Бюд.р.'!D227</f>
        <v>090 01 00</v>
      </c>
      <c r="F48" s="2053"/>
      <c r="G48" s="1997">
        <f>G49</f>
        <v>109.65</v>
      </c>
    </row>
    <row r="49" spans="1:7" ht="15.75" customHeight="1">
      <c r="A49" s="2003" t="s">
        <v>706</v>
      </c>
      <c r="B49" s="2067" t="str">
        <f>'Бюд.р.'!A228</f>
        <v>Закупка товаров, работ и услуг  для государственных (муниципальных) нужд</v>
      </c>
      <c r="C49" s="2018" t="str">
        <f t="shared" si="4"/>
        <v>01</v>
      </c>
      <c r="D49" s="1975" t="str">
        <f t="shared" si="5"/>
        <v>13</v>
      </c>
      <c r="E49" s="1970" t="str">
        <f>E48</f>
        <v>090 01 00</v>
      </c>
      <c r="F49" s="1747">
        <f>'Бюд.р.'!F228</f>
        <v>200</v>
      </c>
      <c r="G49" s="1971">
        <f>'Бюд.р.'!H228</f>
        <v>109.65</v>
      </c>
    </row>
    <row r="50" spans="1:7" ht="22.5">
      <c r="A50" s="2008" t="s">
        <v>1313</v>
      </c>
      <c r="B50" s="2036" t="str">
        <f>'Бюд.р.'!A240</f>
        <v>РАСХОДЫ НА ОСУЩЕСТВЛЕНИЕ ЗАКУПОК ТОВАРОВ, РАБОТ, УСЛУГ ДЛЯ ОБЕСПЕЧЕНИЯ МУНИЦИПАЛЬНЫХ НУЖД</v>
      </c>
      <c r="C50" s="2022" t="s">
        <v>1194</v>
      </c>
      <c r="D50" s="1988" t="s">
        <v>518</v>
      </c>
      <c r="E50" s="1989" t="str">
        <f>'Бюд.р.'!D240</f>
        <v>092 02 00</v>
      </c>
      <c r="F50" s="2059"/>
      <c r="G50" s="1998">
        <f>G51</f>
        <v>400</v>
      </c>
    </row>
    <row r="51" spans="1:7" ht="14.25" customHeight="1">
      <c r="A51" s="2003" t="s">
        <v>1319</v>
      </c>
      <c r="B51" s="2043" t="str">
        <f>'Бюд.р.'!A241</f>
        <v>Закупка товаров, работ и услуг  для государственных (муниципальных) нужд</v>
      </c>
      <c r="C51" s="2018" t="str">
        <f t="shared" si="4"/>
        <v>01</v>
      </c>
      <c r="D51" s="1975" t="str">
        <f t="shared" si="5"/>
        <v>13</v>
      </c>
      <c r="E51" s="1970" t="str">
        <f>E50</f>
        <v>092 02 00</v>
      </c>
      <c r="F51" s="1747">
        <f>'Бюд.р.'!F241</f>
        <v>200</v>
      </c>
      <c r="G51" s="1971">
        <f>'Бюд.р.'!H241</f>
        <v>400</v>
      </c>
    </row>
    <row r="52" spans="1:7" ht="32.25" customHeight="1">
      <c r="A52" s="2008" t="s">
        <v>1314</v>
      </c>
      <c r="B52" s="2036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52" s="2019" t="str">
        <f t="shared" si="4"/>
        <v>01</v>
      </c>
      <c r="D52" s="1978" t="str">
        <f t="shared" si="5"/>
        <v>13</v>
      </c>
      <c r="E52" s="1979" t="str">
        <f>E53</f>
        <v>092 05 00</v>
      </c>
      <c r="F52" s="2053"/>
      <c r="G52" s="1997">
        <f>G53</f>
        <v>72</v>
      </c>
    </row>
    <row r="53" spans="1:7" ht="12.75">
      <c r="A53" s="2003" t="s">
        <v>1320</v>
      </c>
      <c r="B53" s="2043" t="str">
        <f>'Бюд.р.'!A105</f>
        <v>Иные бюджетные ассигнования</v>
      </c>
      <c r="C53" s="2021" t="str">
        <f t="shared" si="4"/>
        <v>01</v>
      </c>
      <c r="D53" s="1975" t="str">
        <f t="shared" si="5"/>
        <v>13</v>
      </c>
      <c r="E53" s="1748" t="str">
        <f>'Бюд.р.'!D105</f>
        <v>092 05 00</v>
      </c>
      <c r="F53" s="1749">
        <f>'Бюд.р.'!F105</f>
        <v>800</v>
      </c>
      <c r="G53" s="1973">
        <f>'Бюд.р.'!H246</f>
        <v>72</v>
      </c>
    </row>
    <row r="54" spans="1:7" ht="47.25" customHeight="1">
      <c r="A54" s="2008" t="s">
        <v>1315</v>
      </c>
      <c r="B54" s="2036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54" s="2022" t="str">
        <f t="shared" si="4"/>
        <v>01</v>
      </c>
      <c r="D54" s="1978" t="str">
        <f t="shared" si="5"/>
        <v>13</v>
      </c>
      <c r="E54" s="1989" t="str">
        <f>'Бюд.р.'!D250</f>
        <v>092 06 00</v>
      </c>
      <c r="F54" s="2059"/>
      <c r="G54" s="1998">
        <f>G55</f>
        <v>333.91999999999996</v>
      </c>
    </row>
    <row r="55" spans="1:7" ht="17.25" customHeight="1">
      <c r="A55" s="2003" t="s">
        <v>1321</v>
      </c>
      <c r="B55" s="2038" t="str">
        <f>'Бюд.р.'!A251</f>
        <v>Закупка товаров, работ и услуг  для государственных (муниципальных) нужд</v>
      </c>
      <c r="C55" s="2021" t="str">
        <f t="shared" si="4"/>
        <v>01</v>
      </c>
      <c r="D55" s="1975" t="str">
        <f t="shared" si="5"/>
        <v>13</v>
      </c>
      <c r="E55" s="1748" t="str">
        <f>E54</f>
        <v>092 06 00</v>
      </c>
      <c r="F55" s="1749">
        <f>'Бюд.р.'!F251</f>
        <v>200</v>
      </c>
      <c r="G55" s="1973">
        <f>'Бюд.р.'!H251</f>
        <v>333.91999999999996</v>
      </c>
    </row>
    <row r="56" spans="1:7" ht="14.25" customHeight="1">
      <c r="A56" s="2004" t="s">
        <v>1316</v>
      </c>
      <c r="B56" s="2032" t="str">
        <f>'Бюд.р.'!A261</f>
        <v>РАСХОДЫ НА ОСУЩЕСТВЛЕНИЕ ЗАЩИТЫ ПРАВ ПОТРЕБИТЕЛЕЙ</v>
      </c>
      <c r="C56" s="2019" t="s">
        <v>1194</v>
      </c>
      <c r="D56" s="1978" t="s">
        <v>518</v>
      </c>
      <c r="E56" s="1979" t="str">
        <f>'Бюд.р.'!D261</f>
        <v>092 10 00</v>
      </c>
      <c r="F56" s="2061"/>
      <c r="G56" s="1997">
        <f>G57</f>
        <v>133.92</v>
      </c>
    </row>
    <row r="57" spans="1:7" ht="15.75" customHeight="1">
      <c r="A57" s="2003" t="s">
        <v>1322</v>
      </c>
      <c r="B57" s="2033" t="str">
        <f>'Бюд.р.'!A262</f>
        <v>Закупка товаров, работ и услуг  для государственных (муниципальных) нужд</v>
      </c>
      <c r="C57" s="2018" t="s">
        <v>1194</v>
      </c>
      <c r="D57" s="1975" t="s">
        <v>518</v>
      </c>
      <c r="E57" s="1970" t="str">
        <f>'Бюд.р.'!D262</f>
        <v>092 10 00</v>
      </c>
      <c r="F57" s="2060">
        <f>'Бюд.р.'!F262</f>
        <v>200</v>
      </c>
      <c r="G57" s="1971">
        <f>'Бюд.р.'!H262</f>
        <v>133.92</v>
      </c>
    </row>
    <row r="58" spans="1:7" ht="29.25" customHeight="1">
      <c r="A58" s="2004" t="s">
        <v>1317</v>
      </c>
      <c r="B58" s="2032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58" s="2019" t="s">
        <v>1194</v>
      </c>
      <c r="D58" s="1978" t="s">
        <v>518</v>
      </c>
      <c r="E58" s="1979" t="str">
        <f>'Бюд.р.'!D266</f>
        <v>795 02 00</v>
      </c>
      <c r="F58" s="2061"/>
      <c r="G58" s="1997">
        <f>G59</f>
        <v>90</v>
      </c>
    </row>
    <row r="59" spans="1:7" ht="15.75" customHeight="1">
      <c r="A59" s="2003" t="s">
        <v>1323</v>
      </c>
      <c r="B59" s="2033" t="str">
        <f>'Бюд.р.'!A267</f>
        <v>Закупка товаров, работ и услуг  для государственных (муниципальных) нужд</v>
      </c>
      <c r="C59" s="2018" t="s">
        <v>1194</v>
      </c>
      <c r="D59" s="1975" t="s">
        <v>518</v>
      </c>
      <c r="E59" s="1970" t="str">
        <f>'Бюд.р.'!D272</f>
        <v>795 02 00</v>
      </c>
      <c r="F59" s="2060">
        <f>'Бюд.р.'!F267</f>
        <v>200</v>
      </c>
      <c r="G59" s="1971">
        <f>'Бюд.р.'!H267</f>
        <v>90</v>
      </c>
    </row>
    <row r="60" spans="1:7" ht="51" customHeight="1">
      <c r="A60" s="2004" t="s">
        <v>1318</v>
      </c>
      <c r="B60" s="2032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60" s="2019" t="s">
        <v>1194</v>
      </c>
      <c r="D60" s="1978" t="s">
        <v>518</v>
      </c>
      <c r="E60" s="1979" t="str">
        <f>'Бюд.р.'!D273</f>
        <v>795 11 00</v>
      </c>
      <c r="F60" s="2061"/>
      <c r="G60" s="1997">
        <f>G61</f>
        <v>136.5</v>
      </c>
    </row>
    <row r="61" spans="1:7" ht="15.75" customHeight="1">
      <c r="A61" s="2003" t="s">
        <v>1324</v>
      </c>
      <c r="B61" s="2033" t="str">
        <f>'Бюд.р.'!A274</f>
        <v>Закупка товаров, работ и услуг  для государственных (муниципальных) нужд</v>
      </c>
      <c r="C61" s="2018" t="s">
        <v>1194</v>
      </c>
      <c r="D61" s="1975" t="s">
        <v>518</v>
      </c>
      <c r="E61" s="1970" t="str">
        <f>'Бюд.р.'!D274</f>
        <v>795 11 00</v>
      </c>
      <c r="F61" s="2060">
        <f>'Бюд.р.'!F274</f>
        <v>200</v>
      </c>
      <c r="G61" s="1971">
        <f>'Бюд.р.'!H274</f>
        <v>136.5</v>
      </c>
    </row>
    <row r="62" spans="1:7" ht="26.25" customHeight="1">
      <c r="A62" s="2002" t="s">
        <v>116</v>
      </c>
      <c r="B62" s="2031" t="str">
        <f>'Бюд.р.'!A279</f>
        <v>НАЦИОНАЛЬНАЯ БЕЗОПАСНОСТЬ И ПРАВООХРАНИТЕЛЬНАЯ ДЕЯТЕЛЬНОСТЬ</v>
      </c>
      <c r="C62" s="2016" t="s">
        <v>1196</v>
      </c>
      <c r="D62" s="1986"/>
      <c r="E62" s="1774"/>
      <c r="F62" s="1830"/>
      <c r="G62" s="2478">
        <f>G63</f>
        <v>276.351</v>
      </c>
    </row>
    <row r="63" spans="1:7" ht="27" customHeight="1">
      <c r="A63" s="2002" t="s">
        <v>315</v>
      </c>
      <c r="B63" s="2699" t="str">
        <f>'Бюд.р.'!A280</f>
        <v>Защита населения и территории от чрезвычайных ситуаций природного и техногенного характера, гражданская оборона</v>
      </c>
      <c r="C63" s="2016" t="str">
        <f>C62</f>
        <v>03</v>
      </c>
      <c r="D63" s="1986" t="s">
        <v>1200</v>
      </c>
      <c r="E63" s="1774"/>
      <c r="F63" s="1830"/>
      <c r="G63" s="1839">
        <f>G64+G66</f>
        <v>276.351</v>
      </c>
    </row>
    <row r="64" spans="1:7" ht="92.25" customHeight="1">
      <c r="A64" s="2004" t="s">
        <v>203</v>
      </c>
      <c r="B64" s="2041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64" s="2019" t="s">
        <v>1196</v>
      </c>
      <c r="D64" s="1978" t="s">
        <v>1200</v>
      </c>
      <c r="E64" s="1979" t="str">
        <f>'Бюд.р.'!D281</f>
        <v>795 03 00</v>
      </c>
      <c r="F64" s="2053"/>
      <c r="G64" s="1997">
        <f>G65</f>
        <v>151.351</v>
      </c>
    </row>
    <row r="65" spans="1:7" ht="15" customHeight="1">
      <c r="A65" s="2003" t="s">
        <v>204</v>
      </c>
      <c r="B65" s="2067" t="str">
        <f>'Бюд.р.'!A282</f>
        <v>Закупка товаров, работ и услуг  для государственных (муниципальных) нужд</v>
      </c>
      <c r="C65" s="2018" t="str">
        <f>C64</f>
        <v>03</v>
      </c>
      <c r="D65" s="1975" t="str">
        <f>D64</f>
        <v>09</v>
      </c>
      <c r="E65" s="1970" t="str">
        <f>E64</f>
        <v>795 03 00</v>
      </c>
      <c r="F65" s="1747">
        <f>'Бюд.р.'!F282</f>
        <v>200</v>
      </c>
      <c r="G65" s="1971">
        <f>'Бюд.р.'!H282</f>
        <v>151.351</v>
      </c>
    </row>
    <row r="66" spans="1:7" ht="36" customHeight="1">
      <c r="A66" s="2004" t="s">
        <v>513</v>
      </c>
      <c r="B66" s="2037" t="str">
        <f>'Бюд.р.'!A302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6" s="2023" t="str">
        <f>C65</f>
        <v>03</v>
      </c>
      <c r="D66" s="1999" t="str">
        <f>D65</f>
        <v>09</v>
      </c>
      <c r="E66" s="1996" t="str">
        <f>'Бюд.р.'!D302</f>
        <v>795 05 00</v>
      </c>
      <c r="F66" s="2061"/>
      <c r="G66" s="1997">
        <f>G67</f>
        <v>125</v>
      </c>
    </row>
    <row r="67" spans="1:7" ht="13.5" customHeight="1">
      <c r="A67" s="2006" t="s">
        <v>205</v>
      </c>
      <c r="B67" s="2069" t="str">
        <f>'Бюд.р.'!A303</f>
        <v>Закупка товаров, работ и услуг  для государственных (муниципальных) нужд</v>
      </c>
      <c r="C67" s="2024" t="str">
        <f>C66</f>
        <v>03</v>
      </c>
      <c r="D67" s="1969" t="str">
        <f>D66</f>
        <v>09</v>
      </c>
      <c r="E67" s="1972" t="str">
        <f>E66</f>
        <v>795 05 00</v>
      </c>
      <c r="F67" s="2060">
        <f>'Бюд.р.'!F303</f>
        <v>200</v>
      </c>
      <c r="G67" s="1971">
        <f>'Бюд.р.'!H303</f>
        <v>125</v>
      </c>
    </row>
    <row r="68" spans="1:7" ht="16.5" customHeight="1">
      <c r="A68" s="2000">
        <v>3</v>
      </c>
      <c r="B68" s="2699" t="str">
        <f>'Бюд.р.'!A308</f>
        <v>НАЦИОНАЛЬНАЯ ЭКОНОМИКА</v>
      </c>
      <c r="C68" s="2016" t="s">
        <v>1197</v>
      </c>
      <c r="D68" s="1986"/>
      <c r="E68" s="1774"/>
      <c r="F68" s="1830"/>
      <c r="G68" s="2478">
        <f>G69+G72</f>
        <v>186.5</v>
      </c>
    </row>
    <row r="69" spans="1:7" ht="17.25" customHeight="1">
      <c r="A69" s="2002" t="s">
        <v>270</v>
      </c>
      <c r="B69" s="2699" t="str">
        <f>'Бюд.р.'!A309</f>
        <v>Общеэкономические вопросы</v>
      </c>
      <c r="C69" s="2016" t="s">
        <v>1197</v>
      </c>
      <c r="D69" s="1986" t="s">
        <v>1194</v>
      </c>
      <c r="E69" s="1774"/>
      <c r="F69" s="1830"/>
      <c r="G69" s="1839">
        <f>G70</f>
        <v>166.5</v>
      </c>
    </row>
    <row r="70" spans="1:7" ht="22.5">
      <c r="A70" s="2004" t="s">
        <v>211</v>
      </c>
      <c r="B70" s="2044" t="str">
        <f>'Бюд.р.'!A310</f>
        <v>ВРЕМЕННОЕ ТРУДОУСТРОЙСТВО НЕСОВЕРШЕННОЛЕТНИХ В ВОЗРАСТЕ ОТ 14 ДО 18 ЛЕТ В СВОБОДНОЕ ОТ УЧЕБЫ ВРЕМЯ</v>
      </c>
      <c r="C70" s="2022" t="str">
        <f>C69</f>
        <v>04</v>
      </c>
      <c r="D70" s="1988" t="str">
        <f>D69</f>
        <v>01</v>
      </c>
      <c r="E70" s="1989" t="str">
        <f>'Бюд.р.'!D310</f>
        <v>510 02 00</v>
      </c>
      <c r="F70" s="2059"/>
      <c r="G70" s="1997">
        <f>G71</f>
        <v>166.5</v>
      </c>
    </row>
    <row r="71" spans="1:7" ht="12.75">
      <c r="A71" s="2005" t="s">
        <v>718</v>
      </c>
      <c r="B71" s="2043" t="str">
        <f>'Бюд.р.'!A311</f>
        <v>Иные бюджетные ассигнования</v>
      </c>
      <c r="C71" s="2018" t="str">
        <f>C70</f>
        <v>04</v>
      </c>
      <c r="D71" s="1975" t="str">
        <f>D70</f>
        <v>01</v>
      </c>
      <c r="E71" s="1970" t="str">
        <f>E70</f>
        <v>510 02 00</v>
      </c>
      <c r="F71" s="1747">
        <f>'Бюд.р.'!F311</f>
        <v>800</v>
      </c>
      <c r="G71" s="1971">
        <f>'Бюд.р.'!H311</f>
        <v>166.5</v>
      </c>
    </row>
    <row r="72" spans="1:7" ht="15" customHeight="1">
      <c r="A72" s="2002" t="s">
        <v>4</v>
      </c>
      <c r="B72" s="2040" t="str">
        <f>'Бюд.р.'!A320</f>
        <v>Другие вопросы в области национальной экономики</v>
      </c>
      <c r="C72" s="2016" t="str">
        <f>C71</f>
        <v>04</v>
      </c>
      <c r="D72" s="1774">
        <v>12</v>
      </c>
      <c r="E72" s="1774"/>
      <c r="F72" s="1830"/>
      <c r="G72" s="1839">
        <f>G73</f>
        <v>20</v>
      </c>
    </row>
    <row r="73" spans="1:7" ht="22.5">
      <c r="A73" s="2008" t="s">
        <v>5</v>
      </c>
      <c r="B73" s="2036" t="str">
        <f>'Бюд.р.'!A321</f>
        <v>Ведомственная целевая программа по содействия развитию малого бизнеса на территории МО</v>
      </c>
      <c r="C73" s="2022" t="str">
        <f>C72</f>
        <v>04</v>
      </c>
      <c r="D73" s="1979">
        <f>D72</f>
        <v>12</v>
      </c>
      <c r="E73" s="1989" t="str">
        <f>'Бюд.р.'!D321</f>
        <v>795 07 00</v>
      </c>
      <c r="F73" s="2059"/>
      <c r="G73" s="1998">
        <f>G74</f>
        <v>20</v>
      </c>
    </row>
    <row r="74" spans="1:7" ht="15" customHeight="1">
      <c r="A74" s="2005" t="s">
        <v>35</v>
      </c>
      <c r="B74" s="2068" t="str">
        <f>'Бюд.р.'!A322</f>
        <v>Закупка товаров, работ и услуг  для государственных (муниципальных) нужд</v>
      </c>
      <c r="C74" s="2018" t="str">
        <f>C73</f>
        <v>04</v>
      </c>
      <c r="D74" s="1748">
        <f>D73</f>
        <v>12</v>
      </c>
      <c r="E74" s="1970" t="str">
        <f>E73</f>
        <v>795 07 00</v>
      </c>
      <c r="F74" s="1747">
        <f>'Бюд.р.'!F322</f>
        <v>200</v>
      </c>
      <c r="G74" s="1971">
        <f>'Бюд.р.'!H322</f>
        <v>20</v>
      </c>
    </row>
    <row r="75" spans="1:7" ht="15.75" customHeight="1">
      <c r="A75" s="2002" t="s">
        <v>680</v>
      </c>
      <c r="B75" s="2040" t="str">
        <f>'Бюд.р.'!A326</f>
        <v>ЖИЛИЩНО-КОММУНАЛЬНОЕ ХОЗЯЙСТВО</v>
      </c>
      <c r="C75" s="2016" t="s">
        <v>1201</v>
      </c>
      <c r="D75" s="1986"/>
      <c r="E75" s="1774"/>
      <c r="F75" s="1830"/>
      <c r="G75" s="2478">
        <f>G76</f>
        <v>50164.903</v>
      </c>
    </row>
    <row r="76" spans="1:7" ht="15.75" customHeight="1">
      <c r="A76" s="2002" t="s">
        <v>681</v>
      </c>
      <c r="B76" s="2699" t="str">
        <f>'Бюд.р.'!A327</f>
        <v>Благоустройство</v>
      </c>
      <c r="C76" s="2016" t="s">
        <v>1201</v>
      </c>
      <c r="D76" s="1986" t="s">
        <v>1196</v>
      </c>
      <c r="E76" s="1993"/>
      <c r="F76" s="2062"/>
      <c r="G76" s="1839">
        <f>G77+G79+G81+G83+G87+G89+G91+G95+G97+G99</f>
        <v>50164.903</v>
      </c>
    </row>
    <row r="77" spans="1:7" ht="25.5" customHeight="1">
      <c r="A77" s="2009" t="s">
        <v>434</v>
      </c>
      <c r="B77" s="2044" t="str">
        <f>'Бюд.р.'!A329</f>
        <v>ТЕКУЩИЙ РЕМОНТ ПРИДОМОВЫХ ТЕРРИТОРИЙ И ДВОРОВЫХ ТЕРРИТОРИЙ , ВКЛЮЧАЯ ПРОЕЗДЫ И ВЪЕЗДЫ,ПЕШЕХОДНЫЕ ДОРОЖКИ</v>
      </c>
      <c r="C77" s="2022" t="str">
        <f aca="true" t="shared" si="6" ref="C77:D80">C76</f>
        <v>05</v>
      </c>
      <c r="D77" s="1988" t="str">
        <f t="shared" si="6"/>
        <v>03</v>
      </c>
      <c r="E77" s="1989" t="str">
        <f>'Бюд.р.'!D329</f>
        <v>600 01 01</v>
      </c>
      <c r="F77" s="2061"/>
      <c r="G77" s="1997">
        <f>G78</f>
        <v>32358.722999999998</v>
      </c>
    </row>
    <row r="78" spans="1:7" ht="13.5" customHeight="1">
      <c r="A78" s="2003" t="s">
        <v>435</v>
      </c>
      <c r="B78" s="2043" t="str">
        <f>'Бюд.р.'!A330</f>
        <v>Закупка товаров, работ и услуг  для государственных (муниципальных) нужд</v>
      </c>
      <c r="C78" s="2018" t="str">
        <f t="shared" si="6"/>
        <v>05</v>
      </c>
      <c r="D78" s="1975" t="str">
        <f t="shared" si="6"/>
        <v>03</v>
      </c>
      <c r="E78" s="1970" t="str">
        <f>E77</f>
        <v>600 01 01</v>
      </c>
      <c r="F78" s="1747">
        <f>'Бюд.р.'!F330</f>
        <v>200</v>
      </c>
      <c r="G78" s="1971">
        <f>'Бюд.р.'!H330</f>
        <v>32358.722999999998</v>
      </c>
    </row>
    <row r="79" spans="1:7" ht="23.25" customHeight="1">
      <c r="A79" s="2008" t="s">
        <v>1202</v>
      </c>
      <c r="B79" s="2036" t="str">
        <f>'Бюд.р.'!A338</f>
        <v>ОРГАНИЗАЦИЯ ДОПОЛНИТЕЛЬНЫХ  ПАРКОВОЧНЫХ МЕСТ НА ДВОРОВЫХ ТЕРРИТОРИЯХ</v>
      </c>
      <c r="C79" s="2022" t="str">
        <f t="shared" si="6"/>
        <v>05</v>
      </c>
      <c r="D79" s="1978" t="str">
        <f t="shared" si="6"/>
        <v>03</v>
      </c>
      <c r="E79" s="1989" t="str">
        <f>'Бюд.р.'!D338</f>
        <v>600 01 02</v>
      </c>
      <c r="F79" s="2059"/>
      <c r="G79" s="1998">
        <f>G80</f>
        <v>473.057</v>
      </c>
    </row>
    <row r="80" spans="1:7" ht="14.25" customHeight="1">
      <c r="A80" s="2003" t="s">
        <v>1237</v>
      </c>
      <c r="B80" s="2043" t="str">
        <f>'Бюд.р.'!A339</f>
        <v>Закупка товаров, работ и услуг  для государственных (муниципальных) нужд</v>
      </c>
      <c r="C80" s="2018" t="str">
        <f t="shared" si="6"/>
        <v>05</v>
      </c>
      <c r="D80" s="1975" t="str">
        <f t="shared" si="6"/>
        <v>03</v>
      </c>
      <c r="E80" s="1970" t="str">
        <f>'Бюд.р.'!D339</f>
        <v>600 01 02</v>
      </c>
      <c r="F80" s="1747">
        <f>'Бюд.р.'!F339</f>
        <v>200</v>
      </c>
      <c r="G80" s="1971">
        <f>'Бюд.р.'!H339</f>
        <v>473.057</v>
      </c>
    </row>
    <row r="81" spans="1:7" ht="13.5" customHeight="1">
      <c r="A81" s="2008" t="s">
        <v>1203</v>
      </c>
      <c r="B81" s="2037" t="str">
        <f>'Бюд.р.'!A343</f>
        <v>УСТАНОВКА,СОДЕРЖАНИЕ И РЕМОНТ ОГРАЖДЕНИЙ ГАЗОНОВ </v>
      </c>
      <c r="C81" s="2023" t="s">
        <v>1201</v>
      </c>
      <c r="D81" s="1978" t="s">
        <v>1196</v>
      </c>
      <c r="E81" s="1979" t="str">
        <f>'Бюд.р.'!D343</f>
        <v>600 01 03</v>
      </c>
      <c r="F81" s="2053"/>
      <c r="G81" s="1997">
        <f>G82</f>
        <v>2616.2039999999997</v>
      </c>
    </row>
    <row r="82" spans="1:7" ht="15" customHeight="1">
      <c r="A82" s="2003" t="s">
        <v>1238</v>
      </c>
      <c r="B82" s="2043" t="str">
        <f>'Бюд.р.'!A344</f>
        <v>Закупка товаров, работ и услуг  для государственных (муниципальных) нужд</v>
      </c>
      <c r="C82" s="2024" t="str">
        <f>C81</f>
        <v>05</v>
      </c>
      <c r="D82" s="1975" t="str">
        <f>D81</f>
        <v>03</v>
      </c>
      <c r="E82" s="1970" t="str">
        <f>E81</f>
        <v>600 01 03</v>
      </c>
      <c r="F82" s="1747">
        <f>'Бюд.р.'!F344</f>
        <v>200</v>
      </c>
      <c r="G82" s="1971">
        <f>'Бюд.р.'!H344</f>
        <v>2616.2039999999997</v>
      </c>
    </row>
    <row r="83" spans="1:7" ht="33.75">
      <c r="A83" s="2008" t="s">
        <v>1204</v>
      </c>
      <c r="B83" s="2036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83" s="2019" t="str">
        <f aca="true" t="shared" si="7" ref="C83:D85">C82</f>
        <v>05</v>
      </c>
      <c r="D83" s="1978" t="str">
        <f t="shared" si="7"/>
        <v>03</v>
      </c>
      <c r="E83" s="1979" t="str">
        <f>'Бюд.р.'!D354</f>
        <v>600 01 04</v>
      </c>
      <c r="F83" s="2053"/>
      <c r="G83" s="1997">
        <f>G84</f>
        <v>673.738</v>
      </c>
    </row>
    <row r="84" spans="1:7" ht="16.5" customHeight="1">
      <c r="A84" s="2003" t="s">
        <v>1239</v>
      </c>
      <c r="B84" s="2033" t="str">
        <f>'Бюд.р.'!A355</f>
        <v>Закупка товаров, работ и услуг  для государственных (муниципальных) нужд</v>
      </c>
      <c r="C84" s="2021" t="str">
        <f t="shared" si="7"/>
        <v>05</v>
      </c>
      <c r="D84" s="1975" t="str">
        <f t="shared" si="7"/>
        <v>03</v>
      </c>
      <c r="E84" s="1970" t="str">
        <f>E83</f>
        <v>600 01 04</v>
      </c>
      <c r="F84" s="2060">
        <f>'Бюд.р.'!F355</f>
        <v>200</v>
      </c>
      <c r="G84" s="1971">
        <f>'Бюд.р.'!H355</f>
        <v>673.738</v>
      </c>
    </row>
    <row r="85" spans="2:7" ht="35.25" customHeight="1" hidden="1">
      <c r="B85" s="2042" t="str">
        <f>'Бюд.р.'!A363</f>
        <v>ОБОРУДОВАНИЕ КОНТЕЙНЕРНЫХ ПЛОЩАДОК НА ТЕРРИТОРИЯХ ДВОРОВ</v>
      </c>
      <c r="C85" s="2019" t="str">
        <f t="shared" si="7"/>
        <v>05</v>
      </c>
      <c r="D85" s="1978" t="str">
        <f t="shared" si="7"/>
        <v>03</v>
      </c>
      <c r="E85" s="1979" t="str">
        <f>'Бюд.р.'!D363</f>
        <v>600 02 01</v>
      </c>
      <c r="F85" s="2053"/>
      <c r="G85" s="1997">
        <f>G86</f>
        <v>0</v>
      </c>
    </row>
    <row r="86" spans="2:7" ht="15.75" customHeight="1" hidden="1">
      <c r="B86" s="2043" t="str">
        <f>'Бюд.р.'!A364</f>
        <v>Закупка товаров, работ и услуг  для государственных (муниципальных) нужд</v>
      </c>
      <c r="C86" s="2024" t="s">
        <v>1201</v>
      </c>
      <c r="D86" s="1975" t="s">
        <v>1196</v>
      </c>
      <c r="E86" s="1970" t="str">
        <f>E85</f>
        <v>600 02 01</v>
      </c>
      <c r="F86" s="1747">
        <f>'Бюд.р.'!F364</f>
        <v>200</v>
      </c>
      <c r="G86" s="1971">
        <f>'Бюд.р.'!H364</f>
        <v>0</v>
      </c>
    </row>
    <row r="87" spans="1:7" ht="25.5" customHeight="1">
      <c r="A87" s="2004" t="s">
        <v>1205</v>
      </c>
      <c r="B87" s="2036" t="str">
        <f>'Бюд.р.'!A374</f>
        <v>ЛИКВИДАЦИЯ НЕСАНКЦИОНИРОВАННЫХ СВАЛОК БЫТОВЫХ ОТХОДОВ, МУСОРА, УБОРКА ТЕРРИТОРИЙ, ВОДНЫХ АКВАТОРИЙ, ТУПИКОВ И ПРОЕЗДОВ</v>
      </c>
      <c r="C87" s="2023" t="str">
        <f aca="true" t="shared" si="8" ref="C87:D90">C86</f>
        <v>05</v>
      </c>
      <c r="D87" s="1978" t="str">
        <f t="shared" si="8"/>
        <v>03</v>
      </c>
      <c r="E87" s="1989" t="str">
        <f>'Бюд.р.'!D374</f>
        <v>600 02 04</v>
      </c>
      <c r="F87" s="2059"/>
      <c r="G87" s="1998">
        <f>G88</f>
        <v>350</v>
      </c>
    </row>
    <row r="88" spans="1:7" ht="12.75">
      <c r="A88" s="2003" t="s">
        <v>1240</v>
      </c>
      <c r="B88" s="2045" t="str">
        <f>'Бюд.р.'!A375</f>
        <v>Закупка товаров, работ и услуг  для государственных (муниципальных) нужд</v>
      </c>
      <c r="C88" s="2018" t="str">
        <f t="shared" si="8"/>
        <v>05</v>
      </c>
      <c r="D88" s="1975" t="str">
        <f t="shared" si="8"/>
        <v>03</v>
      </c>
      <c r="E88" s="1970" t="str">
        <f>E87</f>
        <v>600 02 04</v>
      </c>
      <c r="F88" s="1747">
        <f>'Бюд.р.'!F375</f>
        <v>200</v>
      </c>
      <c r="G88" s="1971">
        <f>'Бюд.р.'!H375</f>
        <v>350</v>
      </c>
    </row>
    <row r="89" spans="1:7" ht="33.75">
      <c r="A89" s="2004" t="s">
        <v>1206</v>
      </c>
      <c r="B89" s="2039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C89" s="2022" t="str">
        <f t="shared" si="8"/>
        <v>05</v>
      </c>
      <c r="D89" s="1978" t="str">
        <f t="shared" si="8"/>
        <v>03</v>
      </c>
      <c r="E89" s="1979" t="str">
        <f>'Бюд.р.'!D383</f>
        <v>600 03 01</v>
      </c>
      <c r="F89" s="2053"/>
      <c r="G89" s="1997">
        <f>G90</f>
        <v>7555.506</v>
      </c>
    </row>
    <row r="90" spans="1:7" ht="12.75">
      <c r="A90" s="2006" t="s">
        <v>1241</v>
      </c>
      <c r="B90" s="2038" t="str">
        <f>'Бюд.р.'!A384</f>
        <v>Закупка товаров, работ и услуг  для государственных (муниципальных) нужд</v>
      </c>
      <c r="C90" s="2018" t="str">
        <f t="shared" si="8"/>
        <v>05</v>
      </c>
      <c r="D90" s="1975" t="str">
        <f t="shared" si="8"/>
        <v>03</v>
      </c>
      <c r="E90" s="1748" t="str">
        <f>E89</f>
        <v>600 03 01</v>
      </c>
      <c r="F90" s="1749">
        <f>'Бюд.р.'!F384</f>
        <v>200</v>
      </c>
      <c r="G90" s="1973">
        <f>'Бюд.р.'!H384</f>
        <v>7555.506</v>
      </c>
    </row>
    <row r="91" spans="1:7" ht="22.5" customHeight="1">
      <c r="A91" s="2004" t="s">
        <v>1207</v>
      </c>
      <c r="B91" s="2041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1" s="2023" t="s">
        <v>1201</v>
      </c>
      <c r="D91" s="1978" t="s">
        <v>1196</v>
      </c>
      <c r="E91" s="1979" t="str">
        <f>'Бюд.р.'!D393</f>
        <v>600 03 02</v>
      </c>
      <c r="F91" s="2053"/>
      <c r="G91" s="1997">
        <f>G92</f>
        <v>300</v>
      </c>
    </row>
    <row r="92" spans="1:7" ht="15" customHeight="1">
      <c r="A92" s="2003" t="s">
        <v>1242</v>
      </c>
      <c r="B92" s="2043" t="str">
        <f>'Бюд.р.'!A394</f>
        <v>Закупка товаров, работ и услуг  для государственных (муниципальных) нужд</v>
      </c>
      <c r="C92" s="2024" t="str">
        <f>C91</f>
        <v>05</v>
      </c>
      <c r="D92" s="1975" t="str">
        <f>D91</f>
        <v>03</v>
      </c>
      <c r="E92" s="1970" t="str">
        <f>E91</f>
        <v>600 03 02</v>
      </c>
      <c r="F92" s="1747">
        <f>'Бюд.р.'!F394</f>
        <v>200</v>
      </c>
      <c r="G92" s="1971">
        <f>'Бюд.р.'!H394</f>
        <v>300</v>
      </c>
    </row>
    <row r="93" spans="1:7" ht="36" customHeight="1" hidden="1">
      <c r="A93" s="2008" t="s">
        <v>1209</v>
      </c>
      <c r="B93" s="2036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3" s="2019" t="str">
        <f aca="true" t="shared" si="9" ref="C93:D96">C92</f>
        <v>05</v>
      </c>
      <c r="D93" s="1978" t="str">
        <f t="shared" si="9"/>
        <v>03</v>
      </c>
      <c r="E93" s="1989" t="str">
        <f>'Бюд.р.'!D400</f>
        <v>600 03 04</v>
      </c>
      <c r="F93" s="2059"/>
      <c r="G93" s="1998">
        <f>G94</f>
        <v>0</v>
      </c>
    </row>
    <row r="94" spans="1:7" ht="14.25" customHeight="1" hidden="1">
      <c r="A94" s="2003" t="s">
        <v>1244</v>
      </c>
      <c r="B94" s="2033" t="str">
        <f>'Бюд.р.'!A401</f>
        <v>Закупка товаров, работ и услуг  для государственных (муниципальных) нужд</v>
      </c>
      <c r="C94" s="2021" t="str">
        <f t="shared" si="9"/>
        <v>05</v>
      </c>
      <c r="D94" s="1975" t="str">
        <f t="shared" si="9"/>
        <v>03</v>
      </c>
      <c r="E94" s="1970" t="str">
        <f>E93</f>
        <v>600 03 04</v>
      </c>
      <c r="F94" s="1747">
        <f>'Бюд.р.'!F401</f>
        <v>200</v>
      </c>
      <c r="G94" s="1971">
        <f>'Бюд.р.'!H401</f>
        <v>0</v>
      </c>
    </row>
    <row r="95" spans="1:7" ht="24.75" customHeight="1">
      <c r="A95" s="2004" t="s">
        <v>1208</v>
      </c>
      <c r="B95" s="2032" t="str">
        <f>'Бюд.р.'!A405</f>
        <v>ОРГАНИЗАЦИЯ УЧЕТА ЗЕЛЕНЫХ НАСАЖДЕНИЙ ВНУТРИКВАРТАЛЬНОГО ОЗЕЛЕНЕНИЯ </v>
      </c>
      <c r="C95" s="2022" t="str">
        <f t="shared" si="9"/>
        <v>05</v>
      </c>
      <c r="D95" s="1978" t="str">
        <f t="shared" si="9"/>
        <v>03</v>
      </c>
      <c r="E95" s="1979" t="str">
        <f>'Бюд.р.'!D405</f>
        <v>600 03 05</v>
      </c>
      <c r="F95" s="2053"/>
      <c r="G95" s="1997">
        <f>G96</f>
        <v>150</v>
      </c>
    </row>
    <row r="96" spans="1:7" ht="18" customHeight="1">
      <c r="A96" s="2003" t="s">
        <v>1243</v>
      </c>
      <c r="B96" s="2033" t="str">
        <f>'Бюд.р.'!A406</f>
        <v>Закупка товаров, работ и услуг  для государственных (муниципальных) нужд</v>
      </c>
      <c r="C96" s="2018" t="str">
        <f t="shared" si="9"/>
        <v>05</v>
      </c>
      <c r="D96" s="1975" t="str">
        <f t="shared" si="9"/>
        <v>03</v>
      </c>
      <c r="E96" s="1970" t="str">
        <f>E95</f>
        <v>600 03 05</v>
      </c>
      <c r="F96" s="1747">
        <f>'Бюд.р.'!F406</f>
        <v>200</v>
      </c>
      <c r="G96" s="1971">
        <f>'Бюд.р.'!H406</f>
        <v>150</v>
      </c>
    </row>
    <row r="97" spans="1:7" ht="22.5">
      <c r="A97" s="2004" t="s">
        <v>1209</v>
      </c>
      <c r="B97" s="2046" t="str">
        <f>'Бюд.р.'!A411</f>
        <v>СОЗДАНИЕ ЗОН ОТДЫХА, В ТОМ ЧИСЛЕ ОБУСТРОЙСТВО, СОДЕРЖАНИЕ И УБОРКА ТЕРРИТОРИЙ ДЕТСКИХ ПЛОЩАДОК</v>
      </c>
      <c r="C97" s="2023" t="s">
        <v>1201</v>
      </c>
      <c r="D97" s="1978" t="s">
        <v>1196</v>
      </c>
      <c r="E97" s="1979" t="str">
        <f>'Бюд.р.'!D411</f>
        <v>600 04 01</v>
      </c>
      <c r="F97" s="2053"/>
      <c r="G97" s="1997">
        <f>G98</f>
        <v>4248.240999999999</v>
      </c>
    </row>
    <row r="98" spans="1:7" ht="17.25" customHeight="1">
      <c r="A98" s="2003" t="s">
        <v>1244</v>
      </c>
      <c r="B98" s="2038" t="str">
        <f>'Бюд.р.'!A412</f>
        <v>Закупка товаров, работ и услуг  для государственных (муниципальных) нужд</v>
      </c>
      <c r="C98" s="2024" t="str">
        <f>C97</f>
        <v>05</v>
      </c>
      <c r="D98" s="1975" t="str">
        <f>D97</f>
        <v>03</v>
      </c>
      <c r="E98" s="1970" t="str">
        <f>E97</f>
        <v>600 04 01</v>
      </c>
      <c r="F98" s="1747">
        <f>'Бюд.р.'!F412</f>
        <v>200</v>
      </c>
      <c r="G98" s="1971">
        <f>'Бюд.р.'!H412</f>
        <v>4248.240999999999</v>
      </c>
    </row>
    <row r="99" spans="1:7" ht="24.75" customHeight="1">
      <c r="A99" s="2004" t="s">
        <v>1210</v>
      </c>
      <c r="B99" s="2046" t="str">
        <f>'Бюд.р.'!A419</f>
        <v>ОБУСТРОЙСТВО, СОДЕРЖАНИЕ И УБОРКА ТЕРРИТОРИЙ СПОРТИВНЫХ ПЛОЩАДОК</v>
      </c>
      <c r="C99" s="2019" t="str">
        <f>C98</f>
        <v>05</v>
      </c>
      <c r="D99" s="1978" t="str">
        <f>D98</f>
        <v>03</v>
      </c>
      <c r="E99" s="1979" t="str">
        <f>'Бюд.р.'!D419</f>
        <v>600 04 02</v>
      </c>
      <c r="F99" s="2053"/>
      <c r="G99" s="1997">
        <f>G100</f>
        <v>1439.434</v>
      </c>
    </row>
    <row r="100" spans="1:7" ht="18" customHeight="1">
      <c r="A100" s="2003" t="s">
        <v>1245</v>
      </c>
      <c r="B100" s="2038" t="str">
        <f>'Бюд.р.'!A420</f>
        <v>Закупка товаров, работ и услуг  для государственных (муниципальных) нужд</v>
      </c>
      <c r="C100" s="2021" t="str">
        <f>C99</f>
        <v>05</v>
      </c>
      <c r="D100" s="1975" t="str">
        <f>D99</f>
        <v>03</v>
      </c>
      <c r="E100" s="1970" t="str">
        <f>E99</f>
        <v>600 04 02</v>
      </c>
      <c r="F100" s="1747">
        <f>'Бюд.р.'!F420</f>
        <v>200</v>
      </c>
      <c r="G100" s="1971">
        <f>'Бюд.р.'!H420</f>
        <v>1439.434</v>
      </c>
    </row>
    <row r="101" spans="1:7" ht="17.25" customHeight="1">
      <c r="A101" s="2002">
        <v>5</v>
      </c>
      <c r="B101" s="2699" t="str">
        <f>'Бюд.р.'!A439</f>
        <v>ОБРАЗОВАНИЕ</v>
      </c>
      <c r="C101" s="2016" t="s">
        <v>1199</v>
      </c>
      <c r="D101" s="1986"/>
      <c r="E101" s="1774"/>
      <c r="F101" s="1830"/>
      <c r="G101" s="2478">
        <f>G102+G107+G118</f>
        <v>4911.45</v>
      </c>
    </row>
    <row r="102" spans="1:7" ht="15" customHeight="1">
      <c r="A102" s="2002" t="s">
        <v>721</v>
      </c>
      <c r="B102" s="2047" t="str">
        <f>'Бюд.р.'!A440</f>
        <v>Профессиональная подготовка, переподготовка и повышение квалификации
</v>
      </c>
      <c r="C102" s="2016" t="s">
        <v>1199</v>
      </c>
      <c r="D102" s="1986" t="s">
        <v>1201</v>
      </c>
      <c r="E102" s="1774"/>
      <c r="F102" s="1830"/>
      <c r="G102" s="1839">
        <f>G103+G105</f>
        <v>255</v>
      </c>
    </row>
    <row r="103" spans="1:7" ht="33.75">
      <c r="A103" s="2004" t="s">
        <v>98</v>
      </c>
      <c r="B103" s="2041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03" s="2019" t="str">
        <f>C102</f>
        <v>07</v>
      </c>
      <c r="D103" s="1978" t="str">
        <f>D102</f>
        <v>05</v>
      </c>
      <c r="E103" s="1979" t="str">
        <f>'Бюд.р.'!D443</f>
        <v>428 01 01</v>
      </c>
      <c r="F103" s="2053"/>
      <c r="G103" s="1997">
        <f>G104</f>
        <v>17</v>
      </c>
    </row>
    <row r="104" spans="1:7" ht="15" customHeight="1">
      <c r="A104" s="2006" t="s">
        <v>1246</v>
      </c>
      <c r="B104" s="2038" t="str">
        <f>'Бюд.р.'!A444</f>
        <v>Закупка товаров, работ и услуг  для государственных (муниципальных) нужд</v>
      </c>
      <c r="C104" s="2018" t="s">
        <v>1199</v>
      </c>
      <c r="D104" s="1975" t="s">
        <v>1201</v>
      </c>
      <c r="E104" s="1970" t="str">
        <f>'Бюд.р.'!D444</f>
        <v>428 01 01</v>
      </c>
      <c r="F104" s="1747">
        <f>'Бюд.р.'!F444</f>
        <v>200</v>
      </c>
      <c r="G104" s="1971">
        <f>'Бюд.р.'!H444</f>
        <v>17</v>
      </c>
    </row>
    <row r="105" spans="1:7" ht="28.5" customHeight="1">
      <c r="A105" s="2004" t="s">
        <v>1247</v>
      </c>
      <c r="B105" s="2037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05" s="2019" t="str">
        <f>C104</f>
        <v>07</v>
      </c>
      <c r="D105" s="1978" t="str">
        <f>D104</f>
        <v>05</v>
      </c>
      <c r="E105" s="1979" t="str">
        <f>'Бюд.р.'!D448</f>
        <v>428 01 02</v>
      </c>
      <c r="F105" s="2053"/>
      <c r="G105" s="1997">
        <f>G106</f>
        <v>238</v>
      </c>
    </row>
    <row r="106" spans="1:7" ht="15" customHeight="1">
      <c r="A106" s="2006" t="s">
        <v>1248</v>
      </c>
      <c r="B106" s="2067" t="str">
        <f>'Бюд.р.'!A449</f>
        <v>Закупка товаров, работ и услуг  для государственных (муниципальных) нужд</v>
      </c>
      <c r="C106" s="2018" t="str">
        <f aca="true" t="shared" si="10" ref="C106:C117">C105</f>
        <v>07</v>
      </c>
      <c r="D106" s="1975" t="str">
        <f aca="true" t="shared" si="11" ref="D106:D117">D105</f>
        <v>05</v>
      </c>
      <c r="E106" s="1970" t="str">
        <f>E105</f>
        <v>428 01 02</v>
      </c>
      <c r="F106" s="1747">
        <f>'Бюд.р.'!F449</f>
        <v>200</v>
      </c>
      <c r="G106" s="1971">
        <f>'Бюд.р.'!H449</f>
        <v>238</v>
      </c>
    </row>
    <row r="107" spans="1:7" ht="18.75" customHeight="1">
      <c r="A107" s="2002" t="s">
        <v>1216</v>
      </c>
      <c r="B107" s="2699" t="str">
        <f>'Бюд.р.'!A453</f>
        <v>Молодежная политика и оздоровление детей</v>
      </c>
      <c r="C107" s="2016" t="str">
        <f t="shared" si="10"/>
        <v>07</v>
      </c>
      <c r="D107" s="1986" t="s">
        <v>1199</v>
      </c>
      <c r="E107" s="1993"/>
      <c r="F107" s="2062"/>
      <c r="G107" s="1839">
        <f>G108+G110+G112+G114+G116</f>
        <v>4519.95</v>
      </c>
    </row>
    <row r="108" spans="1:7" ht="27" customHeight="1">
      <c r="A108" s="2010" t="s">
        <v>472</v>
      </c>
      <c r="B108" s="2700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08" s="2019" t="str">
        <f>C105</f>
        <v>07</v>
      </c>
      <c r="D108" s="1978" t="str">
        <f>D105</f>
        <v>05</v>
      </c>
      <c r="E108" s="1989" t="str">
        <f>'Бюд.р.'!D458</f>
        <v>795 01 00</v>
      </c>
      <c r="F108" s="2061"/>
      <c r="G108" s="1997">
        <f>G109</f>
        <v>877.5</v>
      </c>
    </row>
    <row r="109" spans="1:7" ht="13.5" customHeight="1">
      <c r="A109" s="2003" t="s">
        <v>1249</v>
      </c>
      <c r="B109" s="2043" t="str">
        <f>'Бюд.р.'!A455</f>
        <v>Закупка товаров, работ и услуг  для государственных (муниципальных) нужд</v>
      </c>
      <c r="C109" s="2018" t="str">
        <f t="shared" si="10"/>
        <v>07</v>
      </c>
      <c r="D109" s="1975" t="str">
        <f t="shared" si="11"/>
        <v>05</v>
      </c>
      <c r="E109" s="1970" t="str">
        <f>E108</f>
        <v>795 01 00</v>
      </c>
      <c r="F109" s="1747">
        <f>'Бюд.р.'!F455</f>
        <v>200</v>
      </c>
      <c r="G109" s="1971">
        <f>'Бюд.р.'!H455</f>
        <v>877.5</v>
      </c>
    </row>
    <row r="110" spans="1:7" ht="34.5" customHeight="1">
      <c r="A110" s="2010" t="s">
        <v>472</v>
      </c>
      <c r="B110" s="2044" t="str">
        <f>Пцс!B51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10" s="2019" t="str">
        <f>C107</f>
        <v>07</v>
      </c>
      <c r="D110" s="1978" t="str">
        <f>D107</f>
        <v>07</v>
      </c>
      <c r="E110" s="1989" t="str">
        <f>Пцс!C51</f>
        <v>795 04 00</v>
      </c>
      <c r="F110" s="2061"/>
      <c r="G110" s="1997">
        <f>G111</f>
        <v>185</v>
      </c>
    </row>
    <row r="111" spans="1:7" ht="13.5" customHeight="1">
      <c r="A111" s="2003" t="s">
        <v>1249</v>
      </c>
      <c r="B111" s="2043" t="str">
        <f>'Бюд.р.'!A461</f>
        <v>Закупка товаров, работ и услуг  для государственных (муниципальных) нужд</v>
      </c>
      <c r="C111" s="2018" t="str">
        <f t="shared" si="10"/>
        <v>07</v>
      </c>
      <c r="D111" s="1975" t="str">
        <f t="shared" si="11"/>
        <v>07</v>
      </c>
      <c r="E111" s="1970" t="str">
        <f>E110</f>
        <v>795 04 00</v>
      </c>
      <c r="F111" s="1747">
        <f>'Бюд.р.'!F461</f>
        <v>200</v>
      </c>
      <c r="G111" s="1971">
        <f>'Бюд.р.'!H461</f>
        <v>185</v>
      </c>
    </row>
    <row r="112" spans="1:7" ht="29.25" customHeight="1">
      <c r="A112" s="2010" t="s">
        <v>472</v>
      </c>
      <c r="B112" s="2700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C112" s="2019" t="str">
        <f>C107</f>
        <v>07</v>
      </c>
      <c r="D112" s="1978" t="str">
        <f>D107</f>
        <v>07</v>
      </c>
      <c r="E112" s="1989" t="str">
        <f>'Бюд.р.'!D465</f>
        <v>795 08 00</v>
      </c>
      <c r="F112" s="2061"/>
      <c r="G112" s="1997">
        <f>G113</f>
        <v>1545.45</v>
      </c>
    </row>
    <row r="113" spans="1:7" ht="13.5" customHeight="1">
      <c r="A113" s="2003" t="s">
        <v>1249</v>
      </c>
      <c r="B113" s="2043" t="str">
        <f>'Бюд.р.'!A474</f>
        <v>Закупка товаров, работ и услуг  для государственных (муниципальных) нужд</v>
      </c>
      <c r="C113" s="2018" t="str">
        <f t="shared" si="10"/>
        <v>07</v>
      </c>
      <c r="D113" s="1975" t="str">
        <f t="shared" si="11"/>
        <v>07</v>
      </c>
      <c r="E113" s="1970" t="str">
        <f>E112</f>
        <v>795 08 00</v>
      </c>
      <c r="F113" s="1747">
        <f>'Бюд.р.'!F474</f>
        <v>200</v>
      </c>
      <c r="G113" s="1971">
        <f>'Бюд.р.'!H466</f>
        <v>1545.45</v>
      </c>
    </row>
    <row r="114" spans="1:7" ht="22.5" customHeight="1">
      <c r="A114" s="2004" t="s">
        <v>1217</v>
      </c>
      <c r="B114" s="2046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C114" s="2019" t="str">
        <f t="shared" si="10"/>
        <v>07</v>
      </c>
      <c r="D114" s="1978" t="str">
        <f t="shared" si="11"/>
        <v>07</v>
      </c>
      <c r="E114" s="1979" t="str">
        <f>'Бюд.р.'!D473</f>
        <v>795 06 00</v>
      </c>
      <c r="F114" s="2053"/>
      <c r="G114" s="1997">
        <f>G115</f>
        <v>1812</v>
      </c>
    </row>
    <row r="115" spans="1:7" ht="15" customHeight="1">
      <c r="A115" s="2003" t="s">
        <v>1250</v>
      </c>
      <c r="B115" s="2067" t="str">
        <f>'Бюд.р.'!A474</f>
        <v>Закупка товаров, работ и услуг  для государственных (муниципальных) нужд</v>
      </c>
      <c r="C115" s="2018" t="str">
        <f t="shared" si="10"/>
        <v>07</v>
      </c>
      <c r="D115" s="1975" t="str">
        <f t="shared" si="11"/>
        <v>07</v>
      </c>
      <c r="E115" s="1972" t="str">
        <f>E114</f>
        <v>795 06 00</v>
      </c>
      <c r="F115" s="2060">
        <f>'Бюд.р.'!F474</f>
        <v>200</v>
      </c>
      <c r="G115" s="1971">
        <f>'Бюд.р.'!H474</f>
        <v>1812</v>
      </c>
    </row>
    <row r="116" spans="1:7" ht="36" customHeight="1">
      <c r="A116" s="2004" t="s">
        <v>1217</v>
      </c>
      <c r="B116" s="2032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16" s="2019" t="str">
        <f t="shared" si="10"/>
        <v>07</v>
      </c>
      <c r="D116" s="1978" t="str">
        <f t="shared" si="11"/>
        <v>07</v>
      </c>
      <c r="E116" s="1979" t="str">
        <f>E117</f>
        <v>795 05 00</v>
      </c>
      <c r="F116" s="2053"/>
      <c r="G116" s="1997">
        <f>G117</f>
        <v>100</v>
      </c>
    </row>
    <row r="117" spans="1:7" ht="13.5" customHeight="1">
      <c r="A117" s="2003" t="s">
        <v>1250</v>
      </c>
      <c r="B117" s="2067" t="str">
        <f>'Бюд.р.'!A483</f>
        <v>Закупка товаров, работ и услуг  для государственных (муниципальных) нужд</v>
      </c>
      <c r="C117" s="2018" t="str">
        <f t="shared" si="10"/>
        <v>07</v>
      </c>
      <c r="D117" s="1975" t="str">
        <f t="shared" si="11"/>
        <v>07</v>
      </c>
      <c r="E117" s="1972" t="str">
        <f>'Бюд.р.'!D483</f>
        <v>795 05 00</v>
      </c>
      <c r="F117" s="2060">
        <f>'Бюд.р.'!F483</f>
        <v>200</v>
      </c>
      <c r="G117" s="1971">
        <f>'Бюд.р.'!H483</f>
        <v>100</v>
      </c>
    </row>
    <row r="118" spans="1:7" ht="21.75" customHeight="1">
      <c r="A118" s="2011" t="s">
        <v>12</v>
      </c>
      <c r="B118" s="2699" t="str">
        <f>'Бюд.р.'!A489</f>
        <v>Другие вопросы в области образования</v>
      </c>
      <c r="C118" s="2016" t="s">
        <v>1199</v>
      </c>
      <c r="D118" s="1986" t="s">
        <v>1200</v>
      </c>
      <c r="E118" s="1774"/>
      <c r="F118" s="1830"/>
      <c r="G118" s="1839">
        <f>G119+G121</f>
        <v>136.5</v>
      </c>
    </row>
    <row r="119" spans="1:7" ht="29.25" customHeight="1">
      <c r="A119" s="2012" t="s">
        <v>13</v>
      </c>
      <c r="B119" s="2032" t="str">
        <f>'Бюд.р.'!A490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19" s="2019" t="str">
        <f aca="true" t="shared" si="12" ref="C119:D122">C118</f>
        <v>07</v>
      </c>
      <c r="D119" s="1978" t="str">
        <f t="shared" si="12"/>
        <v>09</v>
      </c>
      <c r="E119" s="1979" t="str">
        <f>'Бюд.р.'!D490</f>
        <v>795 01 00</v>
      </c>
      <c r="F119" s="2061"/>
      <c r="G119" s="1997">
        <f>G120</f>
        <v>30</v>
      </c>
    </row>
    <row r="120" spans="1:7" ht="12" customHeight="1">
      <c r="A120" s="2003" t="s">
        <v>1251</v>
      </c>
      <c r="B120" s="2067" t="str">
        <f>'Бюд.р.'!A491</f>
        <v>Закупка товаров, работ и услуг  для государственных (муниципальных) нужд</v>
      </c>
      <c r="C120" s="2018" t="str">
        <f t="shared" si="12"/>
        <v>07</v>
      </c>
      <c r="D120" s="1975" t="str">
        <f t="shared" si="12"/>
        <v>09</v>
      </c>
      <c r="E120" s="1970" t="str">
        <f>E119</f>
        <v>795 01 00</v>
      </c>
      <c r="F120" s="1747">
        <f>'Бюд.р.'!F491</f>
        <v>200</v>
      </c>
      <c r="G120" s="1971">
        <f>'Бюд.р.'!H491</f>
        <v>30</v>
      </c>
    </row>
    <row r="121" spans="1:7" ht="39" customHeight="1">
      <c r="A121" s="2010" t="s">
        <v>1218</v>
      </c>
      <c r="B121" s="2036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1" s="2019" t="str">
        <f t="shared" si="12"/>
        <v>07</v>
      </c>
      <c r="D121" s="1978" t="str">
        <f t="shared" si="12"/>
        <v>09</v>
      </c>
      <c r="E121" s="1979" t="str">
        <f>'Бюд.р.'!D499</f>
        <v>795 04 00</v>
      </c>
      <c r="F121" s="2053"/>
      <c r="G121" s="1997">
        <f>G122</f>
        <v>106.5</v>
      </c>
    </row>
    <row r="122" spans="1:7" ht="15" customHeight="1">
      <c r="A122" s="2003" t="s">
        <v>1252</v>
      </c>
      <c r="B122" s="2033" t="str">
        <f>'Бюд.р.'!A500</f>
        <v>Закупка товаров, работ и услуг  для государственных (муниципальных) нужд</v>
      </c>
      <c r="C122" s="2018" t="str">
        <f t="shared" si="12"/>
        <v>07</v>
      </c>
      <c r="D122" s="1975" t="str">
        <f t="shared" si="12"/>
        <v>09</v>
      </c>
      <c r="E122" s="1970" t="str">
        <f>E121</f>
        <v>795 04 00</v>
      </c>
      <c r="F122" s="1747">
        <f>'Бюд.р.'!F500</f>
        <v>200</v>
      </c>
      <c r="G122" s="1971">
        <f>'Бюд.р.'!H500</f>
        <v>106.5</v>
      </c>
    </row>
    <row r="123" spans="1:7" ht="19.5" customHeight="1">
      <c r="A123" s="2011" t="s">
        <v>327</v>
      </c>
      <c r="B123" s="2040" t="str">
        <f>'Бюд.р.'!A505</f>
        <v>КУЛЬТУРА, КИНЕМАТОГРАФИЯ </v>
      </c>
      <c r="C123" s="2016" t="s">
        <v>1219</v>
      </c>
      <c r="D123" s="1986"/>
      <c r="E123" s="1774"/>
      <c r="F123" s="1830"/>
      <c r="G123" s="2478">
        <f>G124+G127</f>
        <v>13024.315999999999</v>
      </c>
    </row>
    <row r="124" spans="1:7" ht="16.5" customHeight="1">
      <c r="A124" s="2011" t="s">
        <v>722</v>
      </c>
      <c r="B124" s="2048" t="str">
        <f>'Бюд.р.'!A506</f>
        <v>Культура</v>
      </c>
      <c r="C124" s="2016" t="s">
        <v>1219</v>
      </c>
      <c r="D124" s="1986" t="s">
        <v>1194</v>
      </c>
      <c r="E124" s="1774"/>
      <c r="F124" s="1830"/>
      <c r="G124" s="1839">
        <f>G125</f>
        <v>10822.586</v>
      </c>
    </row>
    <row r="125" spans="1:7" ht="49.5" customHeight="1">
      <c r="A125" s="2079" t="s">
        <v>99</v>
      </c>
      <c r="B125" s="2036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5" s="2019" t="str">
        <f>C124</f>
        <v>08</v>
      </c>
      <c r="D125" s="1978" t="str">
        <f>D124</f>
        <v>01</v>
      </c>
      <c r="E125" s="1979" t="str">
        <f>'Бюд.р.'!D507</f>
        <v>795 09 00</v>
      </c>
      <c r="F125" s="2053"/>
      <c r="G125" s="1997">
        <f>G126</f>
        <v>10822.586</v>
      </c>
    </row>
    <row r="126" spans="1:7" ht="12.75">
      <c r="A126" s="2013" t="s">
        <v>146</v>
      </c>
      <c r="B126" s="2033" t="str">
        <f>'Бюд.р.'!A508</f>
        <v>Закупка товаров, работ и услуг  для государственных (муниципальных) нужд</v>
      </c>
      <c r="C126" s="2018" t="s">
        <v>1219</v>
      </c>
      <c r="D126" s="1975" t="s">
        <v>1194</v>
      </c>
      <c r="E126" s="1970" t="str">
        <f>E125</f>
        <v>795 09 00</v>
      </c>
      <c r="F126" s="1747">
        <f>'Бюд.р.'!F508</f>
        <v>200</v>
      </c>
      <c r="G126" s="1971">
        <f>'Бюд.р.'!H508</f>
        <v>10822.586</v>
      </c>
    </row>
    <row r="127" spans="1:7" ht="18.75" customHeight="1">
      <c r="A127" s="2011" t="s">
        <v>782</v>
      </c>
      <c r="B127" s="2701" t="str">
        <f>'Бюд.р.'!A515</f>
        <v>Другие вопросы в области культуры, кинематографии</v>
      </c>
      <c r="C127" s="2016" t="s">
        <v>1219</v>
      </c>
      <c r="D127" s="1986" t="s">
        <v>1197</v>
      </c>
      <c r="E127" s="1774"/>
      <c r="F127" s="1830"/>
      <c r="G127" s="1839">
        <f>G128+G130</f>
        <v>2201.73</v>
      </c>
    </row>
    <row r="128" spans="1:7" ht="28.5" customHeight="1">
      <c r="A128" s="2004" t="s">
        <v>6</v>
      </c>
      <c r="B128" s="2039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C128" s="2019" t="s">
        <v>1219</v>
      </c>
      <c r="D128" s="1978" t="s">
        <v>1197</v>
      </c>
      <c r="E128" s="1979" t="str">
        <f>'Бюд.р.'!D516</f>
        <v>795 06 00</v>
      </c>
      <c r="F128" s="2053"/>
      <c r="G128" s="1997">
        <f>G129</f>
        <v>1969</v>
      </c>
    </row>
    <row r="129" spans="1:7" ht="14.25" customHeight="1">
      <c r="A129" s="2014" t="s">
        <v>1253</v>
      </c>
      <c r="B129" s="2038" t="str">
        <f>'Бюд.р.'!A517</f>
        <v>Закупка товаров, работ и услуг  для государственных (муниципальных) нужд</v>
      </c>
      <c r="C129" s="2018" t="str">
        <f>C128</f>
        <v>08</v>
      </c>
      <c r="D129" s="1975" t="s">
        <v>1197</v>
      </c>
      <c r="E129" s="1970" t="str">
        <f>E128</f>
        <v>795 06 00</v>
      </c>
      <c r="F129" s="1747">
        <f>'Бюд.р.'!F517</f>
        <v>200</v>
      </c>
      <c r="G129" s="1971">
        <f>'Бюд.р.'!H517</f>
        <v>1969</v>
      </c>
    </row>
    <row r="130" spans="1:7" ht="26.25" customHeight="1">
      <c r="A130" s="2004" t="s">
        <v>6</v>
      </c>
      <c r="B130" s="2039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C130" s="2019" t="s">
        <v>1219</v>
      </c>
      <c r="D130" s="1978" t="s">
        <v>1197</v>
      </c>
      <c r="E130" s="1979" t="str">
        <f>E131</f>
        <v>795 08 00</v>
      </c>
      <c r="F130" s="2053"/>
      <c r="G130" s="1997">
        <f>G131</f>
        <v>232.73000000000002</v>
      </c>
    </row>
    <row r="131" spans="1:7" ht="17.25" customHeight="1">
      <c r="A131" s="2014" t="s">
        <v>1253</v>
      </c>
      <c r="B131" s="2038" t="str">
        <f>'Бюд.р.'!A523</f>
        <v>Закупка товаров, работ и услуг  для государственных (муниципальных) нужд</v>
      </c>
      <c r="C131" s="2018" t="str">
        <f>C130</f>
        <v>08</v>
      </c>
      <c r="D131" s="1975" t="s">
        <v>1197</v>
      </c>
      <c r="E131" s="1970" t="str">
        <f>'Бюд.р.'!D523</f>
        <v>795 08 00</v>
      </c>
      <c r="F131" s="1747">
        <f>'Бюд.р.'!F523</f>
        <v>200</v>
      </c>
      <c r="G131" s="1971">
        <f>'Бюд.р.'!H523</f>
        <v>232.73000000000002</v>
      </c>
    </row>
    <row r="132" spans="1:7" ht="18" customHeight="1">
      <c r="A132" s="2011" t="s">
        <v>328</v>
      </c>
      <c r="B132" s="2040" t="str">
        <f>'Бюд.р.'!A527</f>
        <v>СОЦИАЛЬНАЯ ПОЛИТИКА</v>
      </c>
      <c r="C132" s="2016" t="s">
        <v>391</v>
      </c>
      <c r="D132" s="1986"/>
      <c r="E132" s="1774"/>
      <c r="F132" s="1830"/>
      <c r="G132" s="2478">
        <f>G133+G136</f>
        <v>17252.9</v>
      </c>
    </row>
    <row r="133" spans="1:7" ht="17.25" customHeight="1">
      <c r="A133" s="2011" t="s">
        <v>107</v>
      </c>
      <c r="B133" s="2040" t="str">
        <f>'Бюд.р.'!A528</f>
        <v>Социальное обеспечение населения</v>
      </c>
      <c r="C133" s="2016" t="s">
        <v>391</v>
      </c>
      <c r="D133" s="1986" t="s">
        <v>1196</v>
      </c>
      <c r="E133" s="1774"/>
      <c r="F133" s="1830"/>
      <c r="G133" s="1839">
        <f>G134</f>
        <v>970.2</v>
      </c>
    </row>
    <row r="134" spans="1:7" ht="27.75" customHeight="1">
      <c r="A134" s="2012" t="s">
        <v>1094</v>
      </c>
      <c r="B134" s="2039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134" s="2019" t="str">
        <f>C133</f>
        <v>10</v>
      </c>
      <c r="D134" s="1978" t="str">
        <f>D133</f>
        <v>03</v>
      </c>
      <c r="E134" s="1979" t="str">
        <f>'Бюд.р.'!D529</f>
        <v>505 01 00</v>
      </c>
      <c r="F134" s="2057"/>
      <c r="G134" s="1997">
        <f>G135</f>
        <v>970.2</v>
      </c>
    </row>
    <row r="135" spans="1:7" ht="18.75" customHeight="1">
      <c r="A135" s="2014" t="s">
        <v>1128</v>
      </c>
      <c r="B135" s="2038" t="str">
        <f>'Бюд.р.'!A530</f>
        <v>Социальное обеспечение и иные выплаты населению</v>
      </c>
      <c r="C135" s="2025">
        <v>10</v>
      </c>
      <c r="D135" s="1975" t="s">
        <v>1197</v>
      </c>
      <c r="E135" s="1970" t="str">
        <f>E134</f>
        <v>505 01 00</v>
      </c>
      <c r="F135" s="1747">
        <f>'Бюд.р.'!F530</f>
        <v>300</v>
      </c>
      <c r="G135" s="1971">
        <f>'Бюд.р.'!H530</f>
        <v>970.2</v>
      </c>
    </row>
    <row r="136" spans="1:7" ht="17.25" customHeight="1">
      <c r="A136" s="2011" t="s">
        <v>1129</v>
      </c>
      <c r="B136" s="2031" t="str">
        <f>'Бюд.р.'!A534</f>
        <v>Охрана семьи и детства</v>
      </c>
      <c r="C136" s="2026">
        <v>10</v>
      </c>
      <c r="D136" s="1986" t="s">
        <v>1197</v>
      </c>
      <c r="E136" s="1774"/>
      <c r="F136" s="2063"/>
      <c r="G136" s="1839">
        <f>G137+G140+G142</f>
        <v>16282.7</v>
      </c>
    </row>
    <row r="137" spans="1:7" ht="33.75">
      <c r="A137" s="2012" t="s">
        <v>1130</v>
      </c>
      <c r="B137" s="2039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7" s="2027">
        <v>10</v>
      </c>
      <c r="D137" s="1978" t="s">
        <v>1197</v>
      </c>
      <c r="E137" s="1979" t="str">
        <f>'Бюд.р.'!D535</f>
        <v>002 80 31</v>
      </c>
      <c r="F137" s="2057"/>
      <c r="G137" s="1997">
        <f>SUM(G138:G139)</f>
        <v>4515.1</v>
      </c>
    </row>
    <row r="138" spans="1:7" ht="36.75" customHeight="1">
      <c r="A138" s="2014" t="s">
        <v>1254</v>
      </c>
      <c r="B138" s="2038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8" s="2025">
        <v>10</v>
      </c>
      <c r="D138" s="1975" t="str">
        <f>D137</f>
        <v>04</v>
      </c>
      <c r="E138" s="1970" t="str">
        <f>E137</f>
        <v>002 80 31</v>
      </c>
      <c r="F138" s="1747">
        <f>'Бюд.р.'!F536</f>
        <v>100</v>
      </c>
      <c r="G138" s="1971">
        <f>'Бюд.р.'!H536</f>
        <v>4209.1</v>
      </c>
    </row>
    <row r="139" spans="1:7" ht="19.5" customHeight="1">
      <c r="A139" s="2013" t="s">
        <v>1255</v>
      </c>
      <c r="B139" s="2038" t="str">
        <f>'Бюд.р.'!A542</f>
        <v>Закупка товаров, работ и услуг  для государственных (муниципальных) нужд</v>
      </c>
      <c r="C139" s="2025">
        <f>C138</f>
        <v>10</v>
      </c>
      <c r="D139" s="1975" t="str">
        <f>D138</f>
        <v>04</v>
      </c>
      <c r="E139" s="1970" t="str">
        <f>E138</f>
        <v>002 80 31</v>
      </c>
      <c r="F139" s="2056">
        <f>'Бюд.р.'!F542</f>
        <v>200</v>
      </c>
      <c r="G139" s="1973">
        <f>'Бюд.р.'!H542</f>
        <v>305.99999999999994</v>
      </c>
    </row>
    <row r="140" spans="1:7" ht="39" customHeight="1">
      <c r="A140" s="2010" t="s">
        <v>1221</v>
      </c>
      <c r="B140" s="2036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0" s="2027">
        <f>C139</f>
        <v>10</v>
      </c>
      <c r="D140" s="1978" t="str">
        <f>D139</f>
        <v>04</v>
      </c>
      <c r="E140" s="1979" t="str">
        <f>'Бюд.р.'!D556</f>
        <v>511 80 32</v>
      </c>
      <c r="F140" s="2053"/>
      <c r="G140" s="1997">
        <f>G141</f>
        <v>9259.8</v>
      </c>
    </row>
    <row r="141" spans="1:7" ht="15.75" customHeight="1">
      <c r="A141" s="2013" t="s">
        <v>1256</v>
      </c>
      <c r="B141" s="2033" t="str">
        <f>'Бюд.р.'!A557</f>
        <v>Социальное обеспечение и иные выплаты населению</v>
      </c>
      <c r="C141" s="2025">
        <f>C140</f>
        <v>10</v>
      </c>
      <c r="D141" s="1975" t="str">
        <f>D140</f>
        <v>04</v>
      </c>
      <c r="E141" s="1970" t="str">
        <f>E140</f>
        <v>511 80 32</v>
      </c>
      <c r="F141" s="2056">
        <f>'Бюд.р.'!F557</f>
        <v>300</v>
      </c>
      <c r="G141" s="1971">
        <f>'Бюд.р.'!H557</f>
        <v>9259.8</v>
      </c>
    </row>
    <row r="142" spans="1:7" ht="36" customHeight="1">
      <c r="A142" s="2010" t="s">
        <v>1222</v>
      </c>
      <c r="B142" s="2036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2" s="2027">
        <f>C141</f>
        <v>10</v>
      </c>
      <c r="D142" s="1978" t="str">
        <f>D141</f>
        <v>04</v>
      </c>
      <c r="E142" s="1979" t="str">
        <f>'Бюд.р.'!D561</f>
        <v>511 80 33</v>
      </c>
      <c r="F142" s="2053"/>
      <c r="G142" s="1997">
        <f>G143</f>
        <v>2507.8</v>
      </c>
    </row>
    <row r="143" spans="1:7" ht="12.75">
      <c r="A143" s="2013" t="s">
        <v>1257</v>
      </c>
      <c r="B143" s="2034" t="str">
        <f>'Бюд.р.'!A562</f>
        <v>Социальное обеспечение и иные выплаты населению</v>
      </c>
      <c r="C143" s="2025">
        <f>C142</f>
        <v>10</v>
      </c>
      <c r="D143" s="1975" t="str">
        <f>D142</f>
        <v>04</v>
      </c>
      <c r="E143" s="1970" t="str">
        <f>E142</f>
        <v>511 80 33</v>
      </c>
      <c r="F143" s="2056">
        <f>'Бюд.р.'!F562</f>
        <v>300</v>
      </c>
      <c r="G143" s="1971">
        <f>'Бюд.р.'!H562</f>
        <v>2507.8</v>
      </c>
    </row>
    <row r="144" spans="1:7" ht="18.75" customHeight="1">
      <c r="A144" s="2011" t="s">
        <v>784</v>
      </c>
      <c r="B144" s="2699" t="str">
        <f>'Бюд.р.'!A574</f>
        <v> ФИЗИЧЕСКАЯ КУЛЬТУРА И СПОРТ</v>
      </c>
      <c r="C144" s="2016" t="s">
        <v>103</v>
      </c>
      <c r="D144" s="1986"/>
      <c r="E144" s="1774"/>
      <c r="F144" s="1830"/>
      <c r="G144" s="2478">
        <f>G145</f>
        <v>3865.685</v>
      </c>
    </row>
    <row r="145" spans="1:7" ht="12.75">
      <c r="A145" s="2011" t="s">
        <v>100</v>
      </c>
      <c r="B145" s="2040" t="str">
        <f>'Бюд.р.'!A575</f>
        <v>Массовый спорт</v>
      </c>
      <c r="C145" s="2016" t="s">
        <v>103</v>
      </c>
      <c r="D145" s="1986" t="s">
        <v>1195</v>
      </c>
      <c r="E145" s="1774"/>
      <c r="F145" s="1830"/>
      <c r="G145" s="1839">
        <f>G146</f>
        <v>3865.685</v>
      </c>
    </row>
    <row r="146" spans="1:7" ht="60.75" customHeight="1">
      <c r="A146" s="2010" t="s">
        <v>1095</v>
      </c>
      <c r="B146" s="2036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46" s="2022" t="s">
        <v>103</v>
      </c>
      <c r="D146" s="1988" t="s">
        <v>1195</v>
      </c>
      <c r="E146" s="1989" t="str">
        <f>'Бюд.р.'!D576</f>
        <v>795 10 00</v>
      </c>
      <c r="F146" s="2059"/>
      <c r="G146" s="1998">
        <f>G147</f>
        <v>3865.685</v>
      </c>
    </row>
    <row r="147" spans="1:7" ht="19.5" customHeight="1">
      <c r="A147" s="2013" t="s">
        <v>1258</v>
      </c>
      <c r="B147" s="2033" t="str">
        <f>'Бюд.р.'!A577</f>
        <v>Закупка товаров, работ и услуг  для государственных (муниципальных) нужд</v>
      </c>
      <c r="C147" s="2018" t="s">
        <v>103</v>
      </c>
      <c r="D147" s="1975" t="s">
        <v>1195</v>
      </c>
      <c r="E147" s="1970" t="str">
        <f>E146</f>
        <v>795 10 00</v>
      </c>
      <c r="F147" s="1747">
        <f>'Бюд.р.'!F577</f>
        <v>200</v>
      </c>
      <c r="G147" s="1971">
        <f>'Бюд.р.'!H577</f>
        <v>3865.685</v>
      </c>
    </row>
    <row r="148" spans="1:7" ht="15.75" customHeight="1">
      <c r="A148" s="2011" t="s">
        <v>390</v>
      </c>
      <c r="B148" s="2031" t="str">
        <f>'Бюд.р.'!A588</f>
        <v>СРЕДСТВА МАССОВОЙ ИНФОРМАЦИИ</v>
      </c>
      <c r="C148" s="2016" t="s">
        <v>1</v>
      </c>
      <c r="D148" s="1986"/>
      <c r="E148" s="1774"/>
      <c r="F148" s="1830"/>
      <c r="G148" s="2478">
        <f>G149</f>
        <v>1800</v>
      </c>
    </row>
    <row r="149" spans="1:7" ht="17.25" customHeight="1">
      <c r="A149" s="2011" t="s">
        <v>101</v>
      </c>
      <c r="B149" s="2031" t="str">
        <f>'Бюд.р.'!A589</f>
        <v>Периодическая печать и издательства</v>
      </c>
      <c r="C149" s="2026">
        <v>12</v>
      </c>
      <c r="D149" s="1986" t="s">
        <v>1195</v>
      </c>
      <c r="E149" s="1774"/>
      <c r="F149" s="1830"/>
      <c r="G149" s="1839">
        <f>G150</f>
        <v>1800</v>
      </c>
    </row>
    <row r="150" spans="1:7" ht="22.5">
      <c r="A150" s="2010" t="s">
        <v>102</v>
      </c>
      <c r="B150" s="2036" t="str">
        <f>'Бюд.р.'!A590</f>
        <v>ОПУБЛИКОВАНИЕ МУНИЦИПАЛЬНЫХ ПРАВОВЫХ АКТОВ, ИНОЙ ИНФОРМАЦИИ </v>
      </c>
      <c r="C150" s="2027">
        <v>12</v>
      </c>
      <c r="D150" s="1978" t="s">
        <v>1195</v>
      </c>
      <c r="E150" s="1979" t="str">
        <f>'Бюд.р.'!D590</f>
        <v>457 03 00</v>
      </c>
      <c r="F150" s="2053"/>
      <c r="G150" s="1997">
        <f>G151</f>
        <v>1800</v>
      </c>
    </row>
    <row r="151" spans="1:7" ht="12.75">
      <c r="A151" s="2013" t="s">
        <v>937</v>
      </c>
      <c r="B151" s="2033" t="str">
        <f>'Бюд.р.'!A591</f>
        <v>Закупка товаров, работ и услуг  для государственных (муниципальных) нужд</v>
      </c>
      <c r="C151" s="2025">
        <f>C150</f>
        <v>12</v>
      </c>
      <c r="D151" s="1975" t="str">
        <f>D150</f>
        <v>02</v>
      </c>
      <c r="E151" s="1970" t="str">
        <f>E150</f>
        <v>457 03 00</v>
      </c>
      <c r="F151" s="2060">
        <f>'Бюд.р.'!F591</f>
        <v>200</v>
      </c>
      <c r="G151" s="1971">
        <f>'Бюд.р.'!H591</f>
        <v>1800</v>
      </c>
    </row>
    <row r="152" spans="1:7" ht="18" customHeight="1" thickBot="1">
      <c r="A152" s="2015"/>
      <c r="B152" s="2049" t="s">
        <v>325</v>
      </c>
      <c r="C152" s="2028"/>
      <c r="D152" s="2001"/>
      <c r="E152" s="2001"/>
      <c r="F152" s="2064"/>
      <c r="G152" s="2065">
        <f>G15+G62+G68+G75+G101+G123+G132+G144+G148</f>
        <v>125000</v>
      </c>
    </row>
    <row r="153" ht="16.5" customHeight="1"/>
  </sheetData>
  <sheetProtection/>
  <mergeCells count="13">
    <mergeCell ref="B6:G6"/>
    <mergeCell ref="A1:B1"/>
    <mergeCell ref="C1:G1"/>
    <mergeCell ref="A2:G2"/>
    <mergeCell ref="B3:G3"/>
    <mergeCell ref="B4:G4"/>
    <mergeCell ref="B5:G5"/>
    <mergeCell ref="C7:G7"/>
    <mergeCell ref="A8:G8"/>
    <mergeCell ref="B9:G9"/>
    <mergeCell ref="A10:G10"/>
    <mergeCell ref="A11:G11"/>
    <mergeCell ref="B12:G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64.75390625" style="0" customWidth="1"/>
    <col min="3" max="3" width="4.875" style="0" customWidth="1"/>
    <col min="4" max="4" width="4.125" style="0" customWidth="1"/>
    <col min="5" max="5" width="9.625" style="0" customWidth="1"/>
  </cols>
  <sheetData>
    <row r="1" spans="1:5" ht="15">
      <c r="A1" s="2964"/>
      <c r="B1" s="2964"/>
      <c r="C1" s="2958" t="s">
        <v>1350</v>
      </c>
      <c r="D1" s="2958"/>
      <c r="E1" s="2958"/>
    </row>
    <row r="2" spans="1:5" ht="15">
      <c r="A2" s="2958" t="s">
        <v>427</v>
      </c>
      <c r="B2" s="2958"/>
      <c r="C2" s="2958"/>
      <c r="D2" s="2958"/>
      <c r="E2" s="2958"/>
    </row>
    <row r="3" spans="1:5" ht="15">
      <c r="A3" s="910"/>
      <c r="B3" s="2958" t="s">
        <v>1353</v>
      </c>
      <c r="C3" s="2959"/>
      <c r="D3" s="2959"/>
      <c r="E3" s="2959"/>
    </row>
    <row r="4" spans="1:5" ht="15">
      <c r="A4" s="910"/>
      <c r="B4" s="2958" t="s">
        <v>1362</v>
      </c>
      <c r="C4" s="2959"/>
      <c r="D4" s="2959"/>
      <c r="E4" s="2959"/>
    </row>
    <row r="5" spans="1:5" ht="15">
      <c r="A5" s="910"/>
      <c r="B5" s="2958" t="s">
        <v>427</v>
      </c>
      <c r="C5" s="2958"/>
      <c r="D5" s="2958"/>
      <c r="E5" s="2958"/>
    </row>
    <row r="6" spans="1:5" ht="15">
      <c r="A6" s="910"/>
      <c r="B6" s="2958" t="s">
        <v>1361</v>
      </c>
      <c r="C6" s="2959"/>
      <c r="D6" s="2959"/>
      <c r="E6" s="2959"/>
    </row>
    <row r="7" spans="1:5" ht="48.75" customHeight="1">
      <c r="A7" s="3124" t="s">
        <v>1351</v>
      </c>
      <c r="B7" s="3124"/>
      <c r="C7" s="3124"/>
      <c r="D7" s="3124"/>
      <c r="E7" s="3124"/>
    </row>
    <row r="8" spans="1:5" ht="18.75">
      <c r="A8" s="2931" t="s">
        <v>1280</v>
      </c>
      <c r="B8" s="2931"/>
      <c r="C8" s="2931"/>
      <c r="D8" s="2931"/>
      <c r="E8" s="2931"/>
    </row>
    <row r="9" spans="1:5" ht="13.5" customHeight="1" thickBot="1">
      <c r="A9" s="152"/>
      <c r="B9" s="2930" t="s">
        <v>253</v>
      </c>
      <c r="C9" s="2930"/>
      <c r="D9" s="2930"/>
      <c r="E9" s="2930"/>
    </row>
    <row r="10" spans="1:5" ht="13.5" thickBot="1">
      <c r="A10" s="1991" t="s">
        <v>828</v>
      </c>
      <c r="B10" s="1992" t="s">
        <v>254</v>
      </c>
      <c r="C10" s="1992" t="s">
        <v>1224</v>
      </c>
      <c r="D10" s="1992" t="s">
        <v>1225</v>
      </c>
      <c r="E10" s="2070" t="s">
        <v>303</v>
      </c>
    </row>
    <row r="11" spans="1:5" ht="12.75">
      <c r="A11" s="2649" t="s">
        <v>727</v>
      </c>
      <c r="B11" s="2650">
        <v>2</v>
      </c>
      <c r="C11" s="2651" t="s">
        <v>471</v>
      </c>
      <c r="D11" s="2652" t="s">
        <v>680</v>
      </c>
      <c r="E11" s="2653">
        <v>5</v>
      </c>
    </row>
    <row r="12" spans="1:5" ht="12.75">
      <c r="A12" s="2659" t="s">
        <v>727</v>
      </c>
      <c r="B12" s="2660" t="s">
        <v>111</v>
      </c>
      <c r="C12" s="2659" t="s">
        <v>1194</v>
      </c>
      <c r="D12" s="2659"/>
      <c r="E12" s="2661">
        <f>SUM(E13:E17)</f>
        <v>33517.895</v>
      </c>
    </row>
    <row r="13" spans="1:5" ht="28.5" customHeight="1">
      <c r="A13" s="2480" t="s">
        <v>280</v>
      </c>
      <c r="B13" s="2664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480" t="s">
        <v>1194</v>
      </c>
      <c r="D13" s="2480" t="s">
        <v>1195</v>
      </c>
      <c r="E13" s="2665">
        <f>'Бюд.р.'!H59</f>
        <v>1117.234</v>
      </c>
    </row>
    <row r="14" spans="1:5" ht="39" customHeight="1">
      <c r="A14" s="2480" t="s">
        <v>268</v>
      </c>
      <c r="B14" s="2666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480" t="s">
        <v>1194</v>
      </c>
      <c r="D14" s="2480" t="s">
        <v>1196</v>
      </c>
      <c r="E14" s="2665">
        <f>'Бюд.р.'!H66</f>
        <v>3260.7660000000005</v>
      </c>
    </row>
    <row r="15" spans="1:5" ht="38.25" customHeight="1">
      <c r="A15" s="2480" t="s">
        <v>679</v>
      </c>
      <c r="B15" s="2666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2480" t="s">
        <v>1194</v>
      </c>
      <c r="D15" s="2480" t="s">
        <v>1197</v>
      </c>
      <c r="E15" s="2665">
        <f>'Бюд.р.'!H150</f>
        <v>26584.389</v>
      </c>
    </row>
    <row r="16" spans="1:5" ht="12.75">
      <c r="A16" s="2480" t="s">
        <v>441</v>
      </c>
      <c r="B16" s="2664" t="str">
        <f>'Бюд.р.'!A220</f>
        <v>Резервные фонды</v>
      </c>
      <c r="C16" s="2480" t="s">
        <v>1194</v>
      </c>
      <c r="D16" s="2480" t="s">
        <v>103</v>
      </c>
      <c r="E16" s="2665">
        <f>'Бюд.р.'!H220</f>
        <v>1279.516</v>
      </c>
    </row>
    <row r="17" spans="1:5" ht="12.75">
      <c r="A17" s="2480" t="s">
        <v>704</v>
      </c>
      <c r="B17" s="2664" t="str">
        <f>'Бюд.р.'!A226</f>
        <v>Другие общегосударственные вопросы</v>
      </c>
      <c r="C17" s="2480" t="s">
        <v>1194</v>
      </c>
      <c r="D17" s="2480" t="s">
        <v>518</v>
      </c>
      <c r="E17" s="2665">
        <f>'Бюд.р.'!H226+'Бюд.р.'!H103</f>
        <v>1275.9899999999998</v>
      </c>
    </row>
    <row r="18" spans="1:5" ht="25.5" customHeight="1">
      <c r="A18" s="2659" t="s">
        <v>804</v>
      </c>
      <c r="B18" s="2660" t="str">
        <f>'Бюд.р.'!A279</f>
        <v>НАЦИОНАЛЬНАЯ БЕЗОПАСНОСТЬ И ПРАВООХРАНИТЕЛЬНАЯ ДЕЯТЕЛЬНОСТЬ</v>
      </c>
      <c r="C18" s="2659" t="s">
        <v>1196</v>
      </c>
      <c r="D18" s="2659"/>
      <c r="E18" s="2661">
        <f>E19</f>
        <v>276.351</v>
      </c>
    </row>
    <row r="19" spans="1:5" ht="24">
      <c r="A19" s="2480" t="s">
        <v>315</v>
      </c>
      <c r="B19" s="2664" t="str">
        <f>'Бюд.р.'!A280</f>
        <v>Защита населения и территории от чрезвычайных ситуаций природного и техногенного характера, гражданская оборона</v>
      </c>
      <c r="C19" s="2480" t="s">
        <v>1196</v>
      </c>
      <c r="D19" s="2480" t="s">
        <v>1200</v>
      </c>
      <c r="E19" s="2665">
        <f>'Бюд.р.'!H280</f>
        <v>276.351</v>
      </c>
    </row>
    <row r="20" spans="1:5" ht="12.75">
      <c r="A20" s="2659" t="s">
        <v>471</v>
      </c>
      <c r="B20" s="2660" t="str">
        <f>'Бюд.р.'!A308</f>
        <v>НАЦИОНАЛЬНАЯ ЭКОНОМИКА</v>
      </c>
      <c r="C20" s="2659" t="s">
        <v>1197</v>
      </c>
      <c r="D20" s="2659"/>
      <c r="E20" s="2661">
        <f>SUM(E21:E22)</f>
        <v>186.5</v>
      </c>
    </row>
    <row r="21" spans="1:5" ht="12.75">
      <c r="A21" s="2480" t="s">
        <v>270</v>
      </c>
      <c r="B21" s="2664" t="str">
        <f>'Бюд.р.'!A309</f>
        <v>Общеэкономические вопросы</v>
      </c>
      <c r="C21" s="2480" t="s">
        <v>1197</v>
      </c>
      <c r="D21" s="2480" t="s">
        <v>1194</v>
      </c>
      <c r="E21" s="2665">
        <f>'Бюд.р.'!H309</f>
        <v>166.5</v>
      </c>
    </row>
    <row r="22" spans="1:5" ht="12.75">
      <c r="A22" s="2480" t="s">
        <v>4</v>
      </c>
      <c r="B22" s="2667" t="str">
        <f>'Бюд.р.'!A320</f>
        <v>Другие вопросы в области национальной экономики</v>
      </c>
      <c r="C22" s="2480" t="s">
        <v>1197</v>
      </c>
      <c r="D22" s="2480" t="s">
        <v>1</v>
      </c>
      <c r="E22" s="2665">
        <f>'Бюд.р.'!H320</f>
        <v>20</v>
      </c>
    </row>
    <row r="23" spans="1:5" ht="12.75">
      <c r="A23" s="2659" t="s">
        <v>680</v>
      </c>
      <c r="B23" s="2660" t="str">
        <f>'Бюд.р.'!A326</f>
        <v>ЖИЛИЩНО-КОММУНАЛЬНОЕ ХОЗЯЙСТВО</v>
      </c>
      <c r="C23" s="2659" t="s">
        <v>1201</v>
      </c>
      <c r="D23" s="2659"/>
      <c r="E23" s="2661">
        <f>E24</f>
        <v>50164.90299999999</v>
      </c>
    </row>
    <row r="24" spans="1:5" ht="12.75">
      <c r="A24" s="2480" t="s">
        <v>681</v>
      </c>
      <c r="B24" s="2664" t="str">
        <f>'Бюд.р.'!A327</f>
        <v>Благоустройство</v>
      </c>
      <c r="C24" s="2480" t="s">
        <v>1201</v>
      </c>
      <c r="D24" s="2480" t="s">
        <v>1196</v>
      </c>
      <c r="E24" s="2665">
        <f>'Бюд.р.'!H327</f>
        <v>50164.90299999999</v>
      </c>
    </row>
    <row r="25" spans="1:5" ht="12.75">
      <c r="A25" s="2659" t="s">
        <v>326</v>
      </c>
      <c r="B25" s="2660" t="str">
        <f>'Бюд.р.'!A439</f>
        <v>ОБРАЗОВАНИЕ</v>
      </c>
      <c r="C25" s="2659" t="s">
        <v>1199</v>
      </c>
      <c r="D25" s="2659"/>
      <c r="E25" s="2661">
        <f>SUM(E26:E28)</f>
        <v>4911.45</v>
      </c>
    </row>
    <row r="26" spans="1:5" ht="20.25" customHeight="1">
      <c r="A26" s="2480" t="s">
        <v>721</v>
      </c>
      <c r="B26" s="2664" t="str">
        <f>'Бюд.р.'!A440</f>
        <v>Профессиональная подготовка, переподготовка и повышение квалификации
</v>
      </c>
      <c r="C26" s="2480" t="s">
        <v>1199</v>
      </c>
      <c r="D26" s="2480" t="s">
        <v>1201</v>
      </c>
      <c r="E26" s="2665">
        <f>'Бюд.р.'!H440</f>
        <v>255</v>
      </c>
    </row>
    <row r="27" spans="1:5" ht="12.75">
      <c r="A27" s="2668" t="s">
        <v>781</v>
      </c>
      <c r="B27" s="2666" t="str">
        <f>'Бюд.р.'!A453</f>
        <v>Молодежная политика и оздоровление детей</v>
      </c>
      <c r="C27" s="2480" t="s">
        <v>1199</v>
      </c>
      <c r="D27" s="2480" t="s">
        <v>1199</v>
      </c>
      <c r="E27" s="2665">
        <f>'Бюд.р.'!H453</f>
        <v>4519.95</v>
      </c>
    </row>
    <row r="28" spans="1:5" ht="12.75">
      <c r="A28" s="2668" t="s">
        <v>12</v>
      </c>
      <c r="B28" s="2667" t="str">
        <f>'Бюд.р.'!A489</f>
        <v>Другие вопросы в области образования</v>
      </c>
      <c r="C28" s="2480" t="s">
        <v>1199</v>
      </c>
      <c r="D28" s="2480" t="s">
        <v>1200</v>
      </c>
      <c r="E28" s="2665">
        <f>'Бюд.р.'!H489</f>
        <v>136.5</v>
      </c>
    </row>
    <row r="29" spans="1:5" ht="12.75">
      <c r="A29" s="2662" t="s">
        <v>327</v>
      </c>
      <c r="B29" s="2663" t="str">
        <f>'Бюд.р.'!A505</f>
        <v>КУЛЬТУРА, КИНЕМАТОГРАФИЯ </v>
      </c>
      <c r="C29" s="2659" t="s">
        <v>1219</v>
      </c>
      <c r="D29" s="2659"/>
      <c r="E29" s="2661">
        <f>SUM(E30:E31)</f>
        <v>13024.315999999999</v>
      </c>
    </row>
    <row r="30" spans="1:5" ht="12.75">
      <c r="A30" s="2668" t="s">
        <v>722</v>
      </c>
      <c r="B30" s="2670" t="str">
        <f>'Бюд.р.'!A506</f>
        <v>Культура</v>
      </c>
      <c r="C30" s="2480" t="s">
        <v>1219</v>
      </c>
      <c r="D30" s="2480" t="s">
        <v>1194</v>
      </c>
      <c r="E30" s="2665">
        <f>'Бюд.р.'!H506</f>
        <v>10822.586</v>
      </c>
    </row>
    <row r="31" spans="1:5" ht="12.75">
      <c r="A31" s="2668" t="s">
        <v>782</v>
      </c>
      <c r="B31" s="2669" t="str">
        <f>'Бюд.р.'!A515</f>
        <v>Другие вопросы в области культуры, кинематографии</v>
      </c>
      <c r="C31" s="2480" t="s">
        <v>1219</v>
      </c>
      <c r="D31" s="2668" t="s">
        <v>1197</v>
      </c>
      <c r="E31" s="2665">
        <f>'Бюд.р.'!H515</f>
        <v>2201.73</v>
      </c>
    </row>
    <row r="32" spans="1:5" ht="12.75">
      <c r="A32" s="2662" t="s">
        <v>328</v>
      </c>
      <c r="B32" s="2663" t="str">
        <f>'Бюд.р.'!A527</f>
        <v>СОЦИАЛЬНАЯ ПОЛИТИКА</v>
      </c>
      <c r="C32" s="2659" t="s">
        <v>391</v>
      </c>
      <c r="D32" s="2659"/>
      <c r="E32" s="2661">
        <f>SUM(E33:E34)</f>
        <v>17252.9</v>
      </c>
    </row>
    <row r="33" spans="1:5" ht="12.75">
      <c r="A33" s="2668" t="s">
        <v>107</v>
      </c>
      <c r="B33" s="2670" t="str">
        <f>'Бюд.р.'!A528</f>
        <v>Социальное обеспечение населения</v>
      </c>
      <c r="C33" s="2480" t="s">
        <v>391</v>
      </c>
      <c r="D33" s="2480" t="s">
        <v>1196</v>
      </c>
      <c r="E33" s="2665">
        <f>'Бюд.р.'!H528</f>
        <v>970.2</v>
      </c>
    </row>
    <row r="34" spans="1:5" ht="12.75">
      <c r="A34" s="2668" t="s">
        <v>1129</v>
      </c>
      <c r="B34" s="2667" t="str">
        <f>'Бюд.р.'!A534</f>
        <v>Охрана семьи и детства</v>
      </c>
      <c r="C34" s="2480" t="s">
        <v>391</v>
      </c>
      <c r="D34" s="2668" t="s">
        <v>1197</v>
      </c>
      <c r="E34" s="2665">
        <f>'Бюд.р.'!H534</f>
        <v>16282.7</v>
      </c>
    </row>
    <row r="35" spans="1:5" ht="12.75">
      <c r="A35" s="2662" t="s">
        <v>784</v>
      </c>
      <c r="B35" s="2663" t="str">
        <f>'Бюд.р.'!A574</f>
        <v> ФИЗИЧЕСКАЯ КУЛЬТУРА И СПОРТ</v>
      </c>
      <c r="C35" s="2659" t="s">
        <v>103</v>
      </c>
      <c r="D35" s="2659"/>
      <c r="E35" s="2661">
        <f>E36</f>
        <v>3865.685</v>
      </c>
    </row>
    <row r="36" spans="1:5" ht="12.75">
      <c r="A36" s="2668" t="s">
        <v>100</v>
      </c>
      <c r="B36" s="2670" t="str">
        <f>'Бюд.р.'!A575</f>
        <v>Массовый спорт</v>
      </c>
      <c r="C36" s="2480" t="s">
        <v>103</v>
      </c>
      <c r="D36" s="2480" t="s">
        <v>1195</v>
      </c>
      <c r="E36" s="2665">
        <f>'Бюд.р.'!H575</f>
        <v>3865.685</v>
      </c>
    </row>
    <row r="37" spans="1:5" ht="12.75">
      <c r="A37" s="2662" t="s">
        <v>390</v>
      </c>
      <c r="B37" s="2663" t="str">
        <f>'Бюд.р.'!A588</f>
        <v>СРЕДСТВА МАССОВОЙ ИНФОРМАЦИИ</v>
      </c>
      <c r="C37" s="2659" t="s">
        <v>1</v>
      </c>
      <c r="D37" s="2659"/>
      <c r="E37" s="2661">
        <f>E38</f>
        <v>1800</v>
      </c>
    </row>
    <row r="38" spans="1:5" ht="12.75">
      <c r="A38" s="2668" t="s">
        <v>101</v>
      </c>
      <c r="B38" s="2670" t="str">
        <f>'Бюд.р.'!A589</f>
        <v>Периодическая печать и издательства</v>
      </c>
      <c r="C38" s="2480" t="s">
        <v>1</v>
      </c>
      <c r="D38" s="2480" t="s">
        <v>1195</v>
      </c>
      <c r="E38" s="2665">
        <f>'Бюд.р.'!H589</f>
        <v>1800</v>
      </c>
    </row>
    <row r="39" spans="1:5" ht="15.75">
      <c r="A39" s="2654"/>
      <c r="B39" s="2655" t="s">
        <v>325</v>
      </c>
      <c r="C39" s="2656"/>
      <c r="D39" s="2657"/>
      <c r="E39" s="2658">
        <f>E12+E18+E20+E23+E25+E29+E32+E35+E37</f>
        <v>124999.99999999997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2928"/>
      <c r="D1" s="2928"/>
      <c r="E1" s="2928"/>
      <c r="F1" s="2928"/>
      <c r="G1" s="2928"/>
      <c r="H1" s="2928"/>
      <c r="I1" s="2928"/>
      <c r="J1" s="15"/>
      <c r="K1" s="15"/>
      <c r="L1" s="15"/>
      <c r="M1" s="15"/>
    </row>
    <row r="2" spans="3:13" ht="15.75" hidden="1">
      <c r="C2" s="2928" t="str">
        <f>'Бюд.р.'!D114</f>
        <v> Утверждено Распоряжением МА МО Озеро Долгое</v>
      </c>
      <c r="D2" s="2928"/>
      <c r="E2" s="2928"/>
      <c r="F2" s="2928"/>
      <c r="G2" s="2928"/>
      <c r="H2" s="2928"/>
      <c r="I2" s="2928"/>
      <c r="J2" s="15"/>
      <c r="K2" s="15"/>
      <c r="L2" s="15"/>
      <c r="M2" s="15"/>
    </row>
    <row r="3" spans="3:13" ht="15.75">
      <c r="C3" s="2929" t="str">
        <f>'Бюд.р.'!D115</f>
        <v>№ 02-03-01 от 12.01.2015</v>
      </c>
      <c r="D3" s="2928"/>
      <c r="E3" s="2928"/>
      <c r="F3" s="2928"/>
      <c r="G3" s="2928"/>
      <c r="H3" s="2928"/>
      <c r="I3" s="2928"/>
      <c r="J3" s="15"/>
      <c r="K3" s="15"/>
      <c r="L3" s="15"/>
      <c r="M3" s="15"/>
    </row>
    <row r="4" spans="3:13" ht="15.75">
      <c r="C4" s="2927" t="str">
        <f>'Бюд.р.'!D116</f>
        <v>№ 02-03-02 от 14.01.2015</v>
      </c>
      <c r="D4" s="2927"/>
      <c r="E4" s="2927"/>
      <c r="F4" s="2927"/>
      <c r="G4" s="2927"/>
      <c r="H4" s="2927"/>
      <c r="I4" s="2927"/>
      <c r="J4" s="15"/>
      <c r="K4" s="15"/>
      <c r="L4" s="15"/>
      <c r="M4" s="15"/>
    </row>
    <row r="5" spans="3:13" ht="15.75">
      <c r="C5" s="2927" t="str">
        <f>'Бюд.р.'!D117</f>
        <v>№ 02-03-03 от 30.01.2015</v>
      </c>
      <c r="D5" s="2927"/>
      <c r="E5" s="2927"/>
      <c r="F5" s="2927"/>
      <c r="G5" s="2927"/>
      <c r="H5" s="2927"/>
      <c r="I5" s="2927"/>
      <c r="J5" s="15"/>
      <c r="K5" s="15"/>
      <c r="L5" s="15"/>
      <c r="M5" s="15"/>
    </row>
    <row r="6" spans="3:13" ht="15.75" customHeight="1" hidden="1">
      <c r="C6" s="2927" t="e">
        <f>'Бюд.р.'!#REF!</f>
        <v>#REF!</v>
      </c>
      <c r="D6" s="2927"/>
      <c r="E6" s="2927"/>
      <c r="F6" s="2927"/>
      <c r="G6" s="2927"/>
      <c r="H6" s="2927"/>
      <c r="I6" s="2927"/>
      <c r="J6" s="15"/>
      <c r="K6" s="15"/>
      <c r="L6" s="15"/>
      <c r="M6" s="15"/>
    </row>
    <row r="7" spans="3:13" ht="15.75" customHeight="1" hidden="1">
      <c r="C7" s="2927">
        <f>'Бюд.р.'!D133</f>
        <v>0</v>
      </c>
      <c r="D7" s="2927"/>
      <c r="E7" s="2927"/>
      <c r="F7" s="2927"/>
      <c r="G7" s="2927"/>
      <c r="H7" s="2927"/>
      <c r="I7" s="2927"/>
      <c r="J7" s="15"/>
      <c r="K7" s="15"/>
      <c r="L7" s="15"/>
      <c r="M7" s="15"/>
    </row>
    <row r="8" spans="3:13" ht="15.75" customHeight="1" hidden="1">
      <c r="C8" s="2927">
        <f>'Бюд.р.'!D134</f>
        <v>0</v>
      </c>
      <c r="D8" s="2927"/>
      <c r="E8" s="2927"/>
      <c r="F8" s="2927"/>
      <c r="G8" s="2927"/>
      <c r="H8" s="2927"/>
      <c r="I8" s="2927"/>
      <c r="J8" s="15"/>
      <c r="K8" s="15"/>
      <c r="L8" s="15"/>
      <c r="M8" s="15"/>
    </row>
    <row r="9" spans="3:13" ht="15.75" customHeight="1" hidden="1">
      <c r="C9" s="2927" t="str">
        <f>'Бюд.р.'!D135</f>
        <v>к бюджету от 23.10.2013</v>
      </c>
      <c r="D9" s="2927"/>
      <c r="E9" s="2927"/>
      <c r="F9" s="2927"/>
      <c r="G9" s="2927"/>
      <c r="H9" s="2927"/>
      <c r="I9" s="2927"/>
      <c r="J9" s="15"/>
      <c r="K9" s="15"/>
      <c r="L9" s="15"/>
      <c r="M9" s="15"/>
    </row>
    <row r="10" spans="3:13" ht="15.75" customHeight="1" hidden="1">
      <c r="C10" s="2927" t="str">
        <f>'Бюд.р.'!D136</f>
        <v>к бюджету от 19.02.2014</v>
      </c>
      <c r="D10" s="2927"/>
      <c r="E10" s="2927"/>
      <c r="F10" s="2927"/>
      <c r="G10" s="2927"/>
      <c r="H10" s="2927"/>
      <c r="I10" s="2927"/>
      <c r="J10" s="15"/>
      <c r="K10" s="15"/>
      <c r="L10" s="15"/>
      <c r="M10" s="15"/>
    </row>
    <row r="11" spans="3:13" ht="15.75" customHeight="1" hidden="1">
      <c r="C11" s="2927" t="str">
        <f>'Бюд.р.'!D137</f>
        <v>к бюджету от 23.04.2014</v>
      </c>
      <c r="D11" s="2927"/>
      <c r="E11" s="2927"/>
      <c r="F11" s="2927"/>
      <c r="G11" s="2927"/>
      <c r="H11" s="2927"/>
      <c r="I11" s="2927"/>
      <c r="J11" s="15"/>
      <c r="K11" s="15"/>
      <c r="L11" s="15"/>
      <c r="M11" s="15"/>
    </row>
    <row r="12" spans="3:13" ht="15.75" customHeight="1" hidden="1">
      <c r="C12" s="2927" t="str">
        <f>'Бюд.р.'!D138</f>
        <v>к бюджету от 14.05.2014</v>
      </c>
      <c r="D12" s="2927"/>
      <c r="E12" s="2927"/>
      <c r="F12" s="2927"/>
      <c r="G12" s="2927"/>
      <c r="H12" s="2927"/>
      <c r="I12" s="2927"/>
      <c r="J12" s="15"/>
      <c r="K12" s="15"/>
      <c r="L12" s="15"/>
      <c r="M12" s="15"/>
    </row>
    <row r="13" spans="3:13" ht="15.75" customHeight="1" hidden="1">
      <c r="C13" s="2927">
        <f>'Бюд.р.'!D139</f>
        <v>0</v>
      </c>
      <c r="D13" s="2927"/>
      <c r="E13" s="2927"/>
      <c r="F13" s="2927"/>
      <c r="G13" s="2927"/>
      <c r="H13" s="2927"/>
      <c r="I13" s="2927"/>
      <c r="J13" s="15"/>
      <c r="K13" s="15"/>
      <c r="L13" s="15"/>
      <c r="M13" s="15"/>
    </row>
    <row r="14" spans="3:13" ht="15.75" customHeight="1" hidden="1">
      <c r="C14" s="2927">
        <f>'Бюд.р.'!D140</f>
        <v>0</v>
      </c>
      <c r="D14" s="2927"/>
      <c r="E14" s="2927"/>
      <c r="F14" s="2927"/>
      <c r="G14" s="2927"/>
      <c r="H14" s="2927"/>
      <c r="I14" s="2927"/>
      <c r="J14" s="15"/>
      <c r="K14" s="15"/>
      <c r="L14" s="15"/>
      <c r="M14" s="15"/>
    </row>
    <row r="15" spans="3:13" ht="15.75" customHeight="1" hidden="1">
      <c r="C15" s="2927">
        <f>'Бюд.р.'!D141</f>
        <v>0</v>
      </c>
      <c r="D15" s="2927"/>
      <c r="E15" s="2927"/>
      <c r="F15" s="2927"/>
      <c r="G15" s="2927"/>
      <c r="H15" s="2927"/>
      <c r="I15" s="2927"/>
      <c r="J15" s="15"/>
      <c r="K15" s="15"/>
      <c r="L15" s="15"/>
      <c r="M15" s="15"/>
    </row>
    <row r="16" spans="3:13" ht="15.75" customHeight="1" hidden="1">
      <c r="C16" s="2927">
        <f>'Бюд.р.'!D145</f>
        <v>0</v>
      </c>
      <c r="D16" s="2927"/>
      <c r="E16" s="2927"/>
      <c r="F16" s="2927"/>
      <c r="G16" s="2927"/>
      <c r="H16" s="2927"/>
      <c r="I16" s="2927"/>
      <c r="J16" s="15"/>
      <c r="K16" s="15"/>
      <c r="L16" s="15"/>
      <c r="M16" s="15"/>
    </row>
    <row r="17" spans="3:13" ht="15.75" customHeight="1" hidden="1">
      <c r="C17" s="2927" t="str">
        <f>'Бюд.р.'!D146</f>
        <v>КОД ЦЕЛЕВОЙ СТАТЬИ</v>
      </c>
      <c r="D17" s="2927"/>
      <c r="E17" s="2927"/>
      <c r="F17" s="2927"/>
      <c r="G17" s="2927"/>
      <c r="H17" s="2927"/>
      <c r="I17" s="2927"/>
      <c r="J17" s="15"/>
      <c r="K17" s="15"/>
      <c r="L17" s="15"/>
      <c r="M17" s="15"/>
    </row>
    <row r="18" spans="3:13" ht="15.75" customHeight="1" hidden="1">
      <c r="C18" s="2927">
        <f>'Бюд.р.'!D147</f>
        <v>4</v>
      </c>
      <c r="D18" s="2927"/>
      <c r="E18" s="2927"/>
      <c r="F18" s="2927"/>
      <c r="G18" s="2927"/>
      <c r="H18" s="2927"/>
      <c r="I18" s="2927"/>
      <c r="J18" s="15"/>
      <c r="K18" s="15"/>
      <c r="L18" s="15"/>
      <c r="M18" s="15"/>
    </row>
    <row r="19" spans="3:13" ht="15.75" hidden="1">
      <c r="C19" s="2927" t="e">
        <f>'Бюд.р.'!#REF!</f>
        <v>#REF!</v>
      </c>
      <c r="D19" s="2927"/>
      <c r="E19" s="2927"/>
      <c r="F19" s="2927"/>
      <c r="G19" s="2927"/>
      <c r="H19" s="2927"/>
      <c r="I19" s="2927"/>
      <c r="J19" s="15"/>
      <c r="K19" s="15"/>
      <c r="L19" s="15"/>
      <c r="M19" s="15"/>
    </row>
    <row r="20" spans="3:13" ht="15.75" hidden="1">
      <c r="C20" s="2927" t="str">
        <f>'Бюд.р.'!D119</f>
        <v>№ 02-03-05 от 24.02.2015</v>
      </c>
      <c r="D20" s="2927"/>
      <c r="E20" s="2927"/>
      <c r="F20" s="2927"/>
      <c r="G20" s="2927"/>
      <c r="H20" s="2927"/>
      <c r="I20" s="2927"/>
      <c r="J20" s="15"/>
      <c r="K20" s="15"/>
      <c r="L20" s="15"/>
      <c r="M20" s="15"/>
    </row>
    <row r="21" spans="3:13" ht="15.75" hidden="1">
      <c r="C21" s="2927" t="str">
        <f>'Бюд.р.'!D120</f>
        <v>№ 02-03-06 от 10.03.2015</v>
      </c>
      <c r="D21" s="2927"/>
      <c r="E21" s="2927"/>
      <c r="F21" s="2927"/>
      <c r="G21" s="2927"/>
      <c r="H21" s="2927"/>
      <c r="I21" s="2927"/>
      <c r="J21" s="15"/>
      <c r="K21" s="15"/>
      <c r="L21" s="15"/>
      <c r="M21" s="15"/>
    </row>
    <row r="22" spans="3:13" ht="15.75" hidden="1">
      <c r="C22" s="2927" t="str">
        <f>'Бюд.р.'!D121</f>
        <v>№ 02-03-07 от 25.03.2015</v>
      </c>
      <c r="D22" s="2927"/>
      <c r="E22" s="2927"/>
      <c r="F22" s="2927"/>
      <c r="G22" s="2927"/>
      <c r="H22" s="2927"/>
      <c r="I22" s="2927"/>
      <c r="J22" s="15"/>
      <c r="K22" s="15"/>
      <c r="L22" s="15"/>
      <c r="M22" s="15"/>
    </row>
    <row r="23" spans="3:13" ht="15.75" hidden="1">
      <c r="C23" s="2927">
        <f>'Бюд.р.'!D122</f>
        <v>0</v>
      </c>
      <c r="D23" s="2927"/>
      <c r="E23" s="2927"/>
      <c r="F23" s="2927"/>
      <c r="G23" s="2927"/>
      <c r="H23" s="2927"/>
      <c r="I23" s="2927"/>
      <c r="J23" s="15"/>
      <c r="K23" s="15"/>
      <c r="L23" s="15"/>
      <c r="M23" s="15"/>
    </row>
    <row r="24" spans="3:13" ht="15.75" hidden="1">
      <c r="C24" s="2927">
        <f>'Бюд.р.'!D123</f>
        <v>0</v>
      </c>
      <c r="D24" s="2927"/>
      <c r="E24" s="2927"/>
      <c r="F24" s="2927"/>
      <c r="G24" s="2927"/>
      <c r="H24" s="2927"/>
      <c r="I24" s="2927"/>
      <c r="J24" s="15"/>
      <c r="K24" s="15"/>
      <c r="L24" s="15"/>
      <c r="M24" s="15"/>
    </row>
    <row r="25" spans="2:13" ht="18.75">
      <c r="B25" s="2932" t="s">
        <v>188</v>
      </c>
      <c r="C25" s="2932"/>
      <c r="D25" s="2932"/>
      <c r="E25" s="2932"/>
      <c r="F25" s="2932"/>
      <c r="G25" s="2932"/>
      <c r="H25" s="2932"/>
      <c r="I25" s="2932"/>
      <c r="J25" s="15"/>
      <c r="K25" s="15"/>
      <c r="L25" s="15"/>
      <c r="M25" s="15"/>
    </row>
    <row r="26" spans="1:13" ht="18.75">
      <c r="A26" s="152"/>
      <c r="B26" s="2931" t="s">
        <v>985</v>
      </c>
      <c r="C26" s="2931"/>
      <c r="D26" s="2931"/>
      <c r="E26" s="2931"/>
      <c r="F26" s="2931"/>
      <c r="G26" s="2931"/>
      <c r="H26" s="2931"/>
      <c r="I26" s="2931"/>
      <c r="J26" s="152"/>
      <c r="K26" s="152"/>
      <c r="L26" s="152"/>
      <c r="M26" s="152"/>
    </row>
    <row r="27" spans="1:13" ht="19.5" thickBot="1">
      <c r="A27" s="152"/>
      <c r="B27" s="152"/>
      <c r="C27" s="2930" t="s">
        <v>253</v>
      </c>
      <c r="D27" s="2930"/>
      <c r="E27" s="2930"/>
      <c r="F27" s="2930"/>
      <c r="G27" s="2930"/>
      <c r="H27" s="2930"/>
      <c r="I27" s="2930"/>
      <c r="J27" s="326"/>
      <c r="K27" s="326"/>
      <c r="L27" s="326"/>
      <c r="M27" s="326"/>
    </row>
    <row r="28" spans="1:13" ht="39.75" thickBot="1">
      <c r="A28" s="57" t="s">
        <v>108</v>
      </c>
      <c r="B28" s="43" t="s">
        <v>828</v>
      </c>
      <c r="C28" s="24" t="s">
        <v>254</v>
      </c>
      <c r="D28" s="44" t="s">
        <v>443</v>
      </c>
      <c r="E28" s="196" t="s">
        <v>267</v>
      </c>
      <c r="F28" s="196" t="s">
        <v>265</v>
      </c>
      <c r="G28" s="196" t="s">
        <v>110</v>
      </c>
      <c r="H28" s="29" t="s">
        <v>266</v>
      </c>
      <c r="I28" s="255" t="s">
        <v>303</v>
      </c>
      <c r="J28" s="258" t="s">
        <v>807</v>
      </c>
      <c r="K28" s="259" t="s">
        <v>808</v>
      </c>
      <c r="L28" s="259" t="s">
        <v>793</v>
      </c>
      <c r="M28" s="292" t="s">
        <v>794</v>
      </c>
    </row>
    <row r="29" spans="1:13" ht="12.75">
      <c r="A29" s="119">
        <v>1</v>
      </c>
      <c r="B29" s="325" t="s">
        <v>727</v>
      </c>
      <c r="C29" s="790">
        <v>2</v>
      </c>
      <c r="D29" s="767" t="s">
        <v>471</v>
      </c>
      <c r="E29" s="768" t="s">
        <v>680</v>
      </c>
      <c r="F29" s="768" t="s">
        <v>326</v>
      </c>
      <c r="G29" s="769" t="s">
        <v>327</v>
      </c>
      <c r="H29" s="1129" t="s">
        <v>327</v>
      </c>
      <c r="I29" s="328">
        <v>7</v>
      </c>
      <c r="J29" s="329">
        <v>8</v>
      </c>
      <c r="K29" s="330">
        <v>9</v>
      </c>
      <c r="L29" s="330">
        <v>10</v>
      </c>
      <c r="M29" s="331">
        <v>11</v>
      </c>
    </row>
    <row r="30" spans="1:13" ht="16.5" hidden="1" thickBot="1">
      <c r="A30" s="162" t="s">
        <v>673</v>
      </c>
      <c r="B30" s="307"/>
      <c r="C30" s="791" t="s">
        <v>111</v>
      </c>
      <c r="D30" s="770"/>
      <c r="E30" s="189" t="s">
        <v>448</v>
      </c>
      <c r="F30" s="190"/>
      <c r="G30" s="771"/>
      <c r="H30" s="1130"/>
      <c r="I30" s="281"/>
      <c r="J30" s="269"/>
      <c r="K30" s="191"/>
      <c r="L30" s="191"/>
      <c r="M30" s="293"/>
    </row>
    <row r="31" spans="1:13" ht="40.5" customHeight="1" hidden="1" thickBot="1">
      <c r="A31" s="163" t="s">
        <v>112</v>
      </c>
      <c r="B31" s="11"/>
      <c r="C31" s="792" t="s">
        <v>747</v>
      </c>
      <c r="D31" s="772"/>
      <c r="E31" s="9" t="s">
        <v>312</v>
      </c>
      <c r="F31" s="9"/>
      <c r="G31" s="773"/>
      <c r="H31" s="1131"/>
      <c r="I31" s="282"/>
      <c r="J31" s="270"/>
      <c r="K31" s="260"/>
      <c r="L31" s="260"/>
      <c r="M31" s="294"/>
    </row>
    <row r="32" spans="1:13" ht="31.5" customHeight="1" thickBot="1">
      <c r="A32" s="163"/>
      <c r="B32" s="1054"/>
      <c r="C32" s="1046" t="s">
        <v>529</v>
      </c>
      <c r="D32" s="1047" t="s">
        <v>93</v>
      </c>
      <c r="E32" s="1055"/>
      <c r="F32" s="1055"/>
      <c r="G32" s="1056"/>
      <c r="H32" s="1132"/>
      <c r="I32" s="1057">
        <f>I33</f>
        <v>5065.950000000001</v>
      </c>
      <c r="J32" s="271" t="e">
        <f>J33+J122+J159+J203+J207+J226+#REF!+J237</f>
        <v>#REF!</v>
      </c>
      <c r="K32" s="263" t="e">
        <f>K33+K122+K159+K203+K207+K226+#REF!+K237</f>
        <v>#REF!</v>
      </c>
      <c r="L32" s="263" t="e">
        <f>L33+L122+L159+L203+L207+L226+#REF!+L237</f>
        <v>#REF!</v>
      </c>
      <c r="M32" s="295" t="e">
        <f>M33+M122+M159+M203+M207+M226+#REF!+M237</f>
        <v>#REF!</v>
      </c>
    </row>
    <row r="33" spans="1:13" ht="14.25" customHeight="1" thickBot="1">
      <c r="A33" s="163"/>
      <c r="B33" s="872" t="s">
        <v>673</v>
      </c>
      <c r="C33" s="929" t="s">
        <v>111</v>
      </c>
      <c r="D33" s="873" t="s">
        <v>93</v>
      </c>
      <c r="E33" s="874" t="s">
        <v>456</v>
      </c>
      <c r="F33" s="874"/>
      <c r="G33" s="875"/>
      <c r="H33" s="1133"/>
      <c r="I33" s="876">
        <f>SUM(I34,I42)</f>
        <v>5065.950000000001</v>
      </c>
      <c r="J33" s="279" t="e">
        <f>J34+J42+J67+J100</f>
        <v>#REF!</v>
      </c>
      <c r="K33" s="264" t="e">
        <f>K34+K42+K67+K100</f>
        <v>#REF!</v>
      </c>
      <c r="L33" s="264" t="e">
        <f>L34+L42+L67+L100</f>
        <v>#REF!</v>
      </c>
      <c r="M33" s="302" t="e">
        <f>M34+M42+M67+M100</f>
        <v>#REF!</v>
      </c>
    </row>
    <row r="34" spans="1:13" ht="46.5" customHeight="1">
      <c r="A34" s="163"/>
      <c r="B34" s="977" t="s">
        <v>727</v>
      </c>
      <c r="C34" s="924" t="s">
        <v>141</v>
      </c>
      <c r="D34" s="925" t="s">
        <v>93</v>
      </c>
      <c r="E34" s="926" t="s">
        <v>455</v>
      </c>
      <c r="F34" s="926"/>
      <c r="G34" s="927"/>
      <c r="H34" s="1134"/>
      <c r="I34" s="928">
        <f aca="true" t="shared" si="0" ref="I34:M35">I35</f>
        <v>1117.234</v>
      </c>
      <c r="J34" s="272">
        <f t="shared" si="0"/>
        <v>164.7</v>
      </c>
      <c r="K34" s="123">
        <f t="shared" si="0"/>
        <v>164.8</v>
      </c>
      <c r="L34" s="123">
        <f t="shared" si="0"/>
        <v>164.7</v>
      </c>
      <c r="M34" s="296">
        <f t="shared" si="0"/>
        <v>164.7</v>
      </c>
    </row>
    <row r="35" spans="1:13" ht="17.25" customHeight="1">
      <c r="A35" s="164" t="s">
        <v>280</v>
      </c>
      <c r="B35" s="23" t="s">
        <v>280</v>
      </c>
      <c r="C35" s="793" t="s">
        <v>458</v>
      </c>
      <c r="D35" s="675" t="s">
        <v>93</v>
      </c>
      <c r="E35" s="10" t="s">
        <v>455</v>
      </c>
      <c r="F35" s="10" t="s">
        <v>459</v>
      </c>
      <c r="G35" s="676"/>
      <c r="H35" s="735"/>
      <c r="I35" s="283">
        <f t="shared" si="0"/>
        <v>1117.234</v>
      </c>
      <c r="J35" s="273">
        <f t="shared" si="0"/>
        <v>164.7</v>
      </c>
      <c r="K35" s="157">
        <f t="shared" si="0"/>
        <v>164.8</v>
      </c>
      <c r="L35" s="157">
        <f t="shared" si="0"/>
        <v>164.7</v>
      </c>
      <c r="M35" s="297">
        <f t="shared" si="0"/>
        <v>164.7</v>
      </c>
    </row>
    <row r="36" spans="1:13" ht="22.5">
      <c r="A36" s="165" t="s">
        <v>198</v>
      </c>
      <c r="B36" s="6" t="s">
        <v>198</v>
      </c>
      <c r="C36" s="963" t="s">
        <v>986</v>
      </c>
      <c r="D36" s="677" t="s">
        <v>93</v>
      </c>
      <c r="E36" s="153" t="s">
        <v>455</v>
      </c>
      <c r="F36" s="153" t="s">
        <v>459</v>
      </c>
      <c r="G36" s="678" t="s">
        <v>992</v>
      </c>
      <c r="H36" s="736"/>
      <c r="I36" s="284">
        <f>'Бюд.р.'!H60</f>
        <v>1117.234</v>
      </c>
      <c r="J36" s="274">
        <v>164.7</v>
      </c>
      <c r="K36" s="160">
        <v>164.8</v>
      </c>
      <c r="L36" s="160">
        <v>164.7</v>
      </c>
      <c r="M36" s="298">
        <v>164.7</v>
      </c>
    </row>
    <row r="37" spans="1:13" ht="24" hidden="1">
      <c r="A37" s="166" t="s">
        <v>199</v>
      </c>
      <c r="B37" s="12"/>
      <c r="C37" s="793" t="s">
        <v>275</v>
      </c>
      <c r="D37" s="675"/>
      <c r="E37" s="30" t="s">
        <v>312</v>
      </c>
      <c r="F37" s="30" t="s">
        <v>113</v>
      </c>
      <c r="G37" s="679" t="s">
        <v>748</v>
      </c>
      <c r="H37" s="737" t="s">
        <v>276</v>
      </c>
      <c r="I37" s="256"/>
      <c r="J37" s="275"/>
      <c r="K37" s="205"/>
      <c r="L37" s="205"/>
      <c r="M37" s="265"/>
    </row>
    <row r="38" spans="1:13" ht="12.75" hidden="1">
      <c r="A38" s="167" t="s">
        <v>200</v>
      </c>
      <c r="B38" s="6"/>
      <c r="C38" s="795" t="s">
        <v>291</v>
      </c>
      <c r="D38" s="680"/>
      <c r="E38" s="7" t="s">
        <v>312</v>
      </c>
      <c r="F38" s="7" t="s">
        <v>113</v>
      </c>
      <c r="G38" s="681" t="s">
        <v>748</v>
      </c>
      <c r="H38" s="738" t="s">
        <v>279</v>
      </c>
      <c r="I38" s="256"/>
      <c r="J38" s="275"/>
      <c r="K38" s="205"/>
      <c r="L38" s="205"/>
      <c r="M38" s="265"/>
    </row>
    <row r="39" spans="1:13" ht="12.75" hidden="1">
      <c r="A39" s="167" t="s">
        <v>201</v>
      </c>
      <c r="B39" s="6"/>
      <c r="C39" s="796" t="s">
        <v>114</v>
      </c>
      <c r="D39" s="682"/>
      <c r="E39" s="5" t="s">
        <v>312</v>
      </c>
      <c r="F39" s="5" t="s">
        <v>113</v>
      </c>
      <c r="G39" s="683" t="s">
        <v>748</v>
      </c>
      <c r="H39" s="739" t="s">
        <v>286</v>
      </c>
      <c r="I39" s="256"/>
      <c r="J39" s="275"/>
      <c r="K39" s="205"/>
      <c r="L39" s="205"/>
      <c r="M39" s="265"/>
    </row>
    <row r="40" spans="1:13" ht="12.75" hidden="1">
      <c r="A40" s="167" t="s">
        <v>202</v>
      </c>
      <c r="B40" s="6"/>
      <c r="C40" s="796" t="s">
        <v>115</v>
      </c>
      <c r="D40" s="682"/>
      <c r="E40" s="5" t="s">
        <v>312</v>
      </c>
      <c r="F40" s="5" t="s">
        <v>113</v>
      </c>
      <c r="G40" s="683" t="s">
        <v>748</v>
      </c>
      <c r="H40" s="739" t="s">
        <v>287</v>
      </c>
      <c r="I40" s="256"/>
      <c r="J40" s="275"/>
      <c r="K40" s="205"/>
      <c r="L40" s="205"/>
      <c r="M40" s="265"/>
    </row>
    <row r="41" spans="1:13" ht="38.25" hidden="1">
      <c r="A41" s="163" t="s">
        <v>116</v>
      </c>
      <c r="B41" s="308"/>
      <c r="C41" s="797" t="s">
        <v>723</v>
      </c>
      <c r="D41" s="684"/>
      <c r="E41" s="156" t="s">
        <v>289</v>
      </c>
      <c r="F41" s="156"/>
      <c r="G41" s="685"/>
      <c r="H41" s="740"/>
      <c r="I41" s="256"/>
      <c r="J41" s="275"/>
      <c r="K41" s="205"/>
      <c r="L41" s="205"/>
      <c r="M41" s="265"/>
    </row>
    <row r="42" spans="1:13" ht="60" customHeight="1">
      <c r="A42" s="163"/>
      <c r="B42" s="327" t="s">
        <v>804</v>
      </c>
      <c r="C42" s="798" t="s">
        <v>921</v>
      </c>
      <c r="D42" s="772" t="s">
        <v>93</v>
      </c>
      <c r="E42" s="9" t="s">
        <v>473</v>
      </c>
      <c r="F42" s="9"/>
      <c r="G42" s="773"/>
      <c r="H42" s="1131"/>
      <c r="I42" s="267">
        <f>I43+I48</f>
        <v>3948.7160000000003</v>
      </c>
      <c r="J42" s="272" t="e">
        <f>J43+#REF!</f>
        <v>#REF!</v>
      </c>
      <c r="K42" s="123" t="e">
        <f>K43+#REF!</f>
        <v>#REF!</v>
      </c>
      <c r="L42" s="123" t="e">
        <f>L43+#REF!</f>
        <v>#REF!</v>
      </c>
      <c r="M42" s="296" t="e">
        <f>M43+#REF!</f>
        <v>#REF!</v>
      </c>
    </row>
    <row r="43" spans="1:13" ht="24.75" customHeight="1">
      <c r="A43" s="164" t="s">
        <v>315</v>
      </c>
      <c r="B43" s="308" t="s">
        <v>315</v>
      </c>
      <c r="C43" s="793" t="s">
        <v>477</v>
      </c>
      <c r="D43" s="675" t="s">
        <v>93</v>
      </c>
      <c r="E43" s="10" t="s">
        <v>473</v>
      </c>
      <c r="F43" s="10" t="s">
        <v>56</v>
      </c>
      <c r="G43" s="676"/>
      <c r="H43" s="735"/>
      <c r="I43" s="285">
        <f>I44+I46</f>
        <v>1225.2400000000002</v>
      </c>
      <c r="J43" s="273">
        <f>J45</f>
        <v>151.5</v>
      </c>
      <c r="K43" s="157">
        <f>K45</f>
        <v>151.6</v>
      </c>
      <c r="L43" s="157">
        <f>L45</f>
        <v>151.5</v>
      </c>
      <c r="M43" s="297">
        <f>M45</f>
        <v>151.5</v>
      </c>
    </row>
    <row r="44" spans="1:13" ht="24.75" customHeight="1">
      <c r="A44" s="164"/>
      <c r="B44" s="23" t="s">
        <v>203</v>
      </c>
      <c r="C44" s="793" t="s">
        <v>57</v>
      </c>
      <c r="D44" s="675" t="s">
        <v>93</v>
      </c>
      <c r="E44" s="10" t="s">
        <v>473</v>
      </c>
      <c r="F44" s="10" t="s">
        <v>58</v>
      </c>
      <c r="G44" s="676"/>
      <c r="H44" s="735"/>
      <c r="I44" s="285">
        <f>I45</f>
        <v>960.6400000000001</v>
      </c>
      <c r="J44" s="273"/>
      <c r="K44" s="157"/>
      <c r="L44" s="157"/>
      <c r="M44" s="297"/>
    </row>
    <row r="45" spans="1:13" ht="22.5" customHeight="1">
      <c r="A45" s="164"/>
      <c r="B45" s="6" t="s">
        <v>204</v>
      </c>
      <c r="C45" s="963" t="s">
        <v>986</v>
      </c>
      <c r="D45" s="677" t="s">
        <v>93</v>
      </c>
      <c r="E45" s="153" t="s">
        <v>473</v>
      </c>
      <c r="F45" s="153" t="s">
        <v>58</v>
      </c>
      <c r="G45" s="678" t="s">
        <v>992</v>
      </c>
      <c r="H45" s="735"/>
      <c r="I45" s="284">
        <f>'ВЕД.СТ Пр.2.'!I39</f>
        <v>960.6400000000001</v>
      </c>
      <c r="J45" s="274">
        <v>151.5</v>
      </c>
      <c r="K45" s="160">
        <v>151.6</v>
      </c>
      <c r="L45" s="160">
        <v>151.5</v>
      </c>
      <c r="M45" s="298">
        <v>151.5</v>
      </c>
    </row>
    <row r="46" spans="1:13" ht="27" customHeight="1">
      <c r="A46" s="164"/>
      <c r="B46" s="23" t="s">
        <v>513</v>
      </c>
      <c r="C46" s="1175" t="s">
        <v>1003</v>
      </c>
      <c r="D46" s="675" t="s">
        <v>93</v>
      </c>
      <c r="E46" s="10" t="s">
        <v>473</v>
      </c>
      <c r="F46" s="10" t="s">
        <v>60</v>
      </c>
      <c r="G46" s="686"/>
      <c r="H46" s="735"/>
      <c r="I46" s="285">
        <f>I47</f>
        <v>264.6</v>
      </c>
      <c r="J46" s="273">
        <f>J47</f>
        <v>138.4</v>
      </c>
      <c r="K46" s="157">
        <f>K47</f>
        <v>138.3</v>
      </c>
      <c r="L46" s="157">
        <f>L47</f>
        <v>138.4</v>
      </c>
      <c r="M46" s="297">
        <f>M47</f>
        <v>138.3</v>
      </c>
    </row>
    <row r="47" spans="1:13" ht="12.75" customHeight="1">
      <c r="A47" s="164"/>
      <c r="B47" s="6" t="s">
        <v>205</v>
      </c>
      <c r="C47" s="722" t="s">
        <v>988</v>
      </c>
      <c r="D47" s="677" t="s">
        <v>93</v>
      </c>
      <c r="E47" s="153" t="s">
        <v>473</v>
      </c>
      <c r="F47" s="153" t="s">
        <v>60</v>
      </c>
      <c r="G47" s="678" t="s">
        <v>800</v>
      </c>
      <c r="H47" s="735"/>
      <c r="I47" s="284">
        <f>'ВЕД.СТ Пр.2.'!I46</f>
        <v>264.6</v>
      </c>
      <c r="J47" s="274">
        <v>138.4</v>
      </c>
      <c r="K47" s="160">
        <v>138.3</v>
      </c>
      <c r="L47" s="160">
        <v>138.4</v>
      </c>
      <c r="M47" s="298">
        <v>138.3</v>
      </c>
    </row>
    <row r="48" spans="1:13" ht="24.75" customHeight="1">
      <c r="A48" s="165" t="s">
        <v>97</v>
      </c>
      <c r="B48" s="308" t="s">
        <v>213</v>
      </c>
      <c r="C48" s="799" t="s">
        <v>55</v>
      </c>
      <c r="D48" s="675" t="s">
        <v>93</v>
      </c>
      <c r="E48" s="10" t="s">
        <v>473</v>
      </c>
      <c r="F48" s="10" t="s">
        <v>474</v>
      </c>
      <c r="G48" s="676"/>
      <c r="H48" s="735"/>
      <c r="I48" s="285">
        <f>SUM(I54:I56)</f>
        <v>2723.476</v>
      </c>
      <c r="J48" s="273">
        <f>J54</f>
        <v>36.8</v>
      </c>
      <c r="K48" s="157">
        <f>K54</f>
        <v>36.7</v>
      </c>
      <c r="L48" s="157">
        <f>L54</f>
        <v>36.7</v>
      </c>
      <c r="M48" s="297">
        <f>M54</f>
        <v>36.7</v>
      </c>
    </row>
    <row r="49" spans="1:13" ht="12.75" hidden="1">
      <c r="A49" s="166" t="s">
        <v>204</v>
      </c>
      <c r="B49" s="309"/>
      <c r="C49" s="793" t="s">
        <v>275</v>
      </c>
      <c r="D49" s="687"/>
      <c r="E49" s="7" t="s">
        <v>289</v>
      </c>
      <c r="F49" s="7" t="s">
        <v>113</v>
      </c>
      <c r="G49" s="681" t="s">
        <v>273</v>
      </c>
      <c r="H49" s="738" t="s">
        <v>276</v>
      </c>
      <c r="I49" s="256"/>
      <c r="J49" s="274"/>
      <c r="K49" s="160"/>
      <c r="L49" s="160"/>
      <c r="M49" s="298"/>
    </row>
    <row r="50" spans="1:13" ht="12.75" hidden="1">
      <c r="A50" s="167" t="s">
        <v>206</v>
      </c>
      <c r="B50" s="6"/>
      <c r="C50" s="795" t="s">
        <v>291</v>
      </c>
      <c r="D50" s="680"/>
      <c r="E50" s="7" t="s">
        <v>289</v>
      </c>
      <c r="F50" s="7" t="s">
        <v>113</v>
      </c>
      <c r="G50" s="681" t="s">
        <v>273</v>
      </c>
      <c r="H50" s="738" t="s">
        <v>279</v>
      </c>
      <c r="I50" s="256"/>
      <c r="J50" s="274"/>
      <c r="K50" s="160"/>
      <c r="L50" s="160"/>
      <c r="M50" s="298"/>
    </row>
    <row r="51" spans="1:13" ht="12.75" hidden="1">
      <c r="A51" s="167" t="s">
        <v>201</v>
      </c>
      <c r="B51" s="6"/>
      <c r="C51" s="796" t="s">
        <v>114</v>
      </c>
      <c r="D51" s="682"/>
      <c r="E51" s="5" t="s">
        <v>289</v>
      </c>
      <c r="F51" s="5" t="s">
        <v>113</v>
      </c>
      <c r="G51" s="683" t="s">
        <v>273</v>
      </c>
      <c r="H51" s="739" t="s">
        <v>286</v>
      </c>
      <c r="I51" s="256"/>
      <c r="J51" s="274"/>
      <c r="K51" s="160"/>
      <c r="L51" s="160"/>
      <c r="M51" s="298"/>
    </row>
    <row r="52" spans="1:13" ht="12.75" hidden="1">
      <c r="A52" s="167" t="s">
        <v>202</v>
      </c>
      <c r="B52" s="6"/>
      <c r="C52" s="796" t="s">
        <v>117</v>
      </c>
      <c r="D52" s="682"/>
      <c r="E52" s="5" t="s">
        <v>289</v>
      </c>
      <c r="F52" s="5" t="s">
        <v>269</v>
      </c>
      <c r="G52" s="683" t="s">
        <v>273</v>
      </c>
      <c r="H52" s="739" t="s">
        <v>449</v>
      </c>
      <c r="I52" s="256"/>
      <c r="J52" s="274"/>
      <c r="K52" s="160"/>
      <c r="L52" s="160"/>
      <c r="M52" s="298"/>
    </row>
    <row r="53" spans="1:13" ht="12.75" hidden="1">
      <c r="A53" s="167" t="s">
        <v>207</v>
      </c>
      <c r="B53" s="6"/>
      <c r="C53" s="796" t="s">
        <v>115</v>
      </c>
      <c r="D53" s="682"/>
      <c r="E53" s="5" t="s">
        <v>289</v>
      </c>
      <c r="F53" s="5" t="s">
        <v>113</v>
      </c>
      <c r="G53" s="683" t="s">
        <v>273</v>
      </c>
      <c r="H53" s="739" t="s">
        <v>287</v>
      </c>
      <c r="I53" s="256"/>
      <c r="J53" s="274"/>
      <c r="K53" s="160"/>
      <c r="L53" s="160"/>
      <c r="M53" s="298"/>
    </row>
    <row r="54" spans="1:13" ht="21.75" customHeight="1">
      <c r="A54" s="165" t="s">
        <v>316</v>
      </c>
      <c r="B54" s="6" t="s">
        <v>144</v>
      </c>
      <c r="C54" s="963" t="s">
        <v>986</v>
      </c>
      <c r="D54" s="677" t="s">
        <v>93</v>
      </c>
      <c r="E54" s="153" t="s">
        <v>473</v>
      </c>
      <c r="F54" s="153" t="s">
        <v>474</v>
      </c>
      <c r="G54" s="678" t="s">
        <v>992</v>
      </c>
      <c r="H54" s="739"/>
      <c r="I54" s="284">
        <f>'Бюд.р.'!H84</f>
        <v>817.6779999999999</v>
      </c>
      <c r="J54" s="274">
        <v>36.8</v>
      </c>
      <c r="K54" s="160">
        <v>36.7</v>
      </c>
      <c r="L54" s="160">
        <v>36.7</v>
      </c>
      <c r="M54" s="298">
        <v>36.7</v>
      </c>
    </row>
    <row r="55" spans="1:13" ht="15" customHeight="1">
      <c r="A55" s="165"/>
      <c r="B55" s="6" t="s">
        <v>994</v>
      </c>
      <c r="C55" s="722" t="s">
        <v>988</v>
      </c>
      <c r="D55" s="677" t="s">
        <v>93</v>
      </c>
      <c r="E55" s="153" t="s">
        <v>473</v>
      </c>
      <c r="F55" s="153" t="s">
        <v>474</v>
      </c>
      <c r="G55" s="952" t="s">
        <v>440</v>
      </c>
      <c r="H55" s="1174"/>
      <c r="I55" s="439">
        <f>'Бюд.р.'!H90</f>
        <v>1214.6490000000001</v>
      </c>
      <c r="J55" s="274"/>
      <c r="K55" s="160"/>
      <c r="L55" s="160"/>
      <c r="M55" s="298"/>
    </row>
    <row r="56" spans="1:13" ht="14.25" customHeight="1" thickBot="1">
      <c r="A56" s="165"/>
      <c r="B56" s="6" t="s">
        <v>995</v>
      </c>
      <c r="C56" s="722" t="s">
        <v>987</v>
      </c>
      <c r="D56" s="677" t="s">
        <v>93</v>
      </c>
      <c r="E56" s="153" t="s">
        <v>473</v>
      </c>
      <c r="F56" s="153" t="s">
        <v>474</v>
      </c>
      <c r="G56" s="952" t="s">
        <v>999</v>
      </c>
      <c r="H56" s="1174"/>
      <c r="I56" s="439">
        <f>'Бюд.р.'!H96</f>
        <v>691.1490000000001</v>
      </c>
      <c r="J56" s="274"/>
      <c r="K56" s="160"/>
      <c r="L56" s="160"/>
      <c r="M56" s="298"/>
    </row>
    <row r="57" spans="1:13" ht="14.25" customHeight="1" thickBot="1">
      <c r="A57" s="165"/>
      <c r="B57" s="921"/>
      <c r="C57" s="644" t="s">
        <v>271</v>
      </c>
      <c r="D57" s="645">
        <v>925</v>
      </c>
      <c r="E57" s="645">
        <v>700</v>
      </c>
      <c r="F57" s="645"/>
      <c r="G57" s="645"/>
      <c r="H57" s="646"/>
      <c r="I57" s="439"/>
      <c r="J57" s="274"/>
      <c r="K57" s="160"/>
      <c r="L57" s="160"/>
      <c r="M57" s="298"/>
    </row>
    <row r="58" spans="1:13" ht="14.25" customHeight="1">
      <c r="A58" s="165"/>
      <c r="B58" s="921"/>
      <c r="C58" s="649" t="s">
        <v>1053</v>
      </c>
      <c r="D58" s="641">
        <v>925</v>
      </c>
      <c r="E58" s="641">
        <v>705</v>
      </c>
      <c r="F58" s="641"/>
      <c r="G58" s="641"/>
      <c r="H58" s="642"/>
      <c r="I58" s="439"/>
      <c r="J58" s="274"/>
      <c r="K58" s="160"/>
      <c r="L58" s="160"/>
      <c r="M58" s="298"/>
    </row>
    <row r="59" spans="1:13" ht="14.25" customHeight="1">
      <c r="A59" s="165"/>
      <c r="B59" s="921"/>
      <c r="C59" s="385" t="s">
        <v>1086</v>
      </c>
      <c r="D59" s="137">
        <v>925</v>
      </c>
      <c r="E59" s="137">
        <v>705</v>
      </c>
      <c r="F59" s="137" t="s">
        <v>1060</v>
      </c>
      <c r="G59" s="137"/>
      <c r="H59" s="380"/>
      <c r="I59" s="439"/>
      <c r="J59" s="274"/>
      <c r="K59" s="160"/>
      <c r="L59" s="160"/>
      <c r="M59" s="298"/>
    </row>
    <row r="60" spans="1:13" ht="14.25" customHeight="1">
      <c r="A60" s="165"/>
      <c r="B60" s="921"/>
      <c r="C60" s="385" t="s">
        <v>1061</v>
      </c>
      <c r="D60" s="137">
        <v>925</v>
      </c>
      <c r="E60" s="137">
        <v>705</v>
      </c>
      <c r="F60" s="137" t="s">
        <v>1087</v>
      </c>
      <c r="G60" s="137"/>
      <c r="H60" s="380"/>
      <c r="I60" s="439"/>
      <c r="J60" s="274"/>
      <c r="K60" s="160"/>
      <c r="L60" s="160"/>
      <c r="M60" s="298"/>
    </row>
    <row r="61" spans="1:13" ht="14.25" customHeight="1">
      <c r="A61" s="165"/>
      <c r="B61" s="921"/>
      <c r="C61" s="385" t="s">
        <v>1064</v>
      </c>
      <c r="D61" s="137">
        <v>968</v>
      </c>
      <c r="E61" s="137">
        <v>705</v>
      </c>
      <c r="F61" s="137" t="s">
        <v>1062</v>
      </c>
      <c r="G61" s="137"/>
      <c r="H61" s="380"/>
      <c r="I61" s="439"/>
      <c r="J61" s="274"/>
      <c r="K61" s="160"/>
      <c r="L61" s="160"/>
      <c r="M61" s="298"/>
    </row>
    <row r="62" spans="1:13" ht="14.25" customHeight="1">
      <c r="A62" s="165"/>
      <c r="B62" s="921"/>
      <c r="C62" s="1161" t="s">
        <v>1063</v>
      </c>
      <c r="D62" s="1168">
        <v>968</v>
      </c>
      <c r="E62" s="1168">
        <v>705</v>
      </c>
      <c r="F62" s="1168" t="s">
        <v>1062</v>
      </c>
      <c r="G62" s="1168">
        <v>244</v>
      </c>
      <c r="H62" s="1162">
        <v>244</v>
      </c>
      <c r="I62" s="439"/>
      <c r="J62" s="274"/>
      <c r="K62" s="160"/>
      <c r="L62" s="160"/>
      <c r="M62" s="298"/>
    </row>
    <row r="63" spans="1:13" ht="14.25" customHeight="1">
      <c r="A63" s="165"/>
      <c r="B63" s="921"/>
      <c r="C63" s="1655"/>
      <c r="D63" s="713"/>
      <c r="E63" s="951"/>
      <c r="F63" s="951"/>
      <c r="G63" s="952"/>
      <c r="H63" s="1174"/>
      <c r="I63" s="439"/>
      <c r="J63" s="274"/>
      <c r="K63" s="160"/>
      <c r="L63" s="160"/>
      <c r="M63" s="298"/>
    </row>
    <row r="64" spans="1:13" ht="14.25" customHeight="1">
      <c r="A64" s="165"/>
      <c r="B64" s="921"/>
      <c r="C64" s="1655"/>
      <c r="D64" s="713"/>
      <c r="E64" s="951"/>
      <c r="F64" s="951"/>
      <c r="G64" s="952"/>
      <c r="H64" s="1174"/>
      <c r="I64" s="439"/>
      <c r="J64" s="274"/>
      <c r="K64" s="160"/>
      <c r="L64" s="160"/>
      <c r="M64" s="298"/>
    </row>
    <row r="65" spans="1:13" ht="30" customHeight="1" thickBot="1">
      <c r="A65" s="171" t="s">
        <v>263</v>
      </c>
      <c r="B65" s="1045"/>
      <c r="C65" s="1046" t="s">
        <v>528</v>
      </c>
      <c r="D65" s="1047" t="s">
        <v>631</v>
      </c>
      <c r="E65" s="1048"/>
      <c r="F65" s="1048"/>
      <c r="G65" s="1049"/>
      <c r="H65" s="1135"/>
      <c r="I65" s="1050" t="e">
        <f>I66+I122+I152+I159+I203+I207+I226+I237+I256+I260</f>
        <v>#REF!</v>
      </c>
      <c r="J65" s="275"/>
      <c r="K65" s="205"/>
      <c r="L65" s="205"/>
      <c r="M65" s="265"/>
    </row>
    <row r="66" spans="1:13" ht="30" customHeight="1" thickBot="1">
      <c r="A66" s="171"/>
      <c r="B66" s="1013" t="s">
        <v>673</v>
      </c>
      <c r="C66" s="1014" t="s">
        <v>111</v>
      </c>
      <c r="D66" s="1015" t="s">
        <v>631</v>
      </c>
      <c r="E66" s="1016" t="s">
        <v>456</v>
      </c>
      <c r="F66" s="1016"/>
      <c r="G66" s="1017"/>
      <c r="H66" s="1136"/>
      <c r="I66" s="1019" t="e">
        <f>SUM(I67,I97,I100)</f>
        <v>#REF!</v>
      </c>
      <c r="J66" s="275"/>
      <c r="K66" s="205"/>
      <c r="L66" s="205"/>
      <c r="M66" s="265"/>
    </row>
    <row r="67" spans="1:13" ht="73.5" customHeight="1">
      <c r="A67" s="171"/>
      <c r="B67" s="977" t="s">
        <v>471</v>
      </c>
      <c r="C67" s="1051" t="s">
        <v>927</v>
      </c>
      <c r="D67" s="925" t="s">
        <v>631</v>
      </c>
      <c r="E67" s="1052" t="s">
        <v>475</v>
      </c>
      <c r="F67" s="1052"/>
      <c r="G67" s="1053"/>
      <c r="H67" s="1137"/>
      <c r="I67" s="928">
        <f>I68+I90</f>
        <v>26517.321999999996</v>
      </c>
      <c r="J67" s="272" t="e">
        <f>#REF!+J68</f>
        <v>#REF!</v>
      </c>
      <c r="K67" s="123" t="e">
        <f>#REF!+K68</f>
        <v>#REF!</v>
      </c>
      <c r="L67" s="123" t="e">
        <f>#REF!+L68</f>
        <v>#REF!</v>
      </c>
      <c r="M67" s="296" t="e">
        <f>#REF!+M68</f>
        <v>#REF!</v>
      </c>
    </row>
    <row r="68" spans="1:13" ht="12.75">
      <c r="A68" s="165" t="s">
        <v>211</v>
      </c>
      <c r="B68" s="23" t="s">
        <v>270</v>
      </c>
      <c r="C68" s="793" t="s">
        <v>96</v>
      </c>
      <c r="D68" s="675" t="s">
        <v>631</v>
      </c>
      <c r="E68" s="10" t="s">
        <v>475</v>
      </c>
      <c r="F68" s="10" t="s">
        <v>476</v>
      </c>
      <c r="G68" s="678"/>
      <c r="H68" s="736"/>
      <c r="I68" s="285">
        <f>I73</f>
        <v>1117.234</v>
      </c>
      <c r="J68" s="273">
        <f>J73</f>
        <v>164.7</v>
      </c>
      <c r="K68" s="157">
        <f>K73</f>
        <v>164.7</v>
      </c>
      <c r="L68" s="157">
        <f>L73</f>
        <v>164.7</v>
      </c>
      <c r="M68" s="297">
        <f>M73</f>
        <v>164.7</v>
      </c>
    </row>
    <row r="69" spans="1:13" ht="12.75" hidden="1">
      <c r="A69" s="168" t="s">
        <v>718</v>
      </c>
      <c r="B69" s="309"/>
      <c r="C69" s="794" t="s">
        <v>275</v>
      </c>
      <c r="D69" s="682"/>
      <c r="E69" s="5" t="s">
        <v>288</v>
      </c>
      <c r="F69" s="5" t="s">
        <v>113</v>
      </c>
      <c r="G69" s="683" t="s">
        <v>290</v>
      </c>
      <c r="H69" s="739" t="s">
        <v>276</v>
      </c>
      <c r="I69" s="256"/>
      <c r="J69" s="274"/>
      <c r="K69" s="160"/>
      <c r="L69" s="160"/>
      <c r="M69" s="298"/>
    </row>
    <row r="70" spans="1:13" ht="12.75" hidden="1">
      <c r="A70" s="169" t="s">
        <v>430</v>
      </c>
      <c r="B70" s="6"/>
      <c r="C70" s="796" t="s">
        <v>291</v>
      </c>
      <c r="D70" s="682"/>
      <c r="E70" s="5" t="s">
        <v>288</v>
      </c>
      <c r="F70" s="5" t="s">
        <v>113</v>
      </c>
      <c r="G70" s="683" t="s">
        <v>290</v>
      </c>
      <c r="H70" s="739" t="s">
        <v>279</v>
      </c>
      <c r="I70" s="256"/>
      <c r="J70" s="274"/>
      <c r="K70" s="160"/>
      <c r="L70" s="160"/>
      <c r="M70" s="298"/>
    </row>
    <row r="71" spans="1:13" ht="12.75" hidden="1">
      <c r="A71" s="169" t="s">
        <v>201</v>
      </c>
      <c r="B71" s="6"/>
      <c r="C71" s="796" t="s">
        <v>114</v>
      </c>
      <c r="D71" s="682"/>
      <c r="E71" s="5" t="s">
        <v>288</v>
      </c>
      <c r="F71" s="5" t="s">
        <v>113</v>
      </c>
      <c r="G71" s="683" t="s">
        <v>290</v>
      </c>
      <c r="H71" s="739" t="s">
        <v>286</v>
      </c>
      <c r="I71" s="256"/>
      <c r="J71" s="274"/>
      <c r="K71" s="160"/>
      <c r="L71" s="160"/>
      <c r="M71" s="298"/>
    </row>
    <row r="72" spans="1:13" ht="12.75" hidden="1">
      <c r="A72" s="169" t="s">
        <v>202</v>
      </c>
      <c r="B72" s="6"/>
      <c r="C72" s="796" t="s">
        <v>115</v>
      </c>
      <c r="D72" s="682"/>
      <c r="E72" s="5" t="s">
        <v>288</v>
      </c>
      <c r="F72" s="5" t="s">
        <v>113</v>
      </c>
      <c r="G72" s="683" t="s">
        <v>290</v>
      </c>
      <c r="H72" s="739" t="s">
        <v>287</v>
      </c>
      <c r="I72" s="256"/>
      <c r="J72" s="274"/>
      <c r="K72" s="160"/>
      <c r="L72" s="160"/>
      <c r="M72" s="298"/>
    </row>
    <row r="73" spans="1:13" ht="24" customHeight="1">
      <c r="A73" s="165" t="s">
        <v>317</v>
      </c>
      <c r="B73" s="6" t="s">
        <v>211</v>
      </c>
      <c r="C73" s="963" t="s">
        <v>986</v>
      </c>
      <c r="D73" s="677" t="s">
        <v>631</v>
      </c>
      <c r="E73" s="153" t="s">
        <v>475</v>
      </c>
      <c r="F73" s="153" t="s">
        <v>476</v>
      </c>
      <c r="G73" s="678" t="s">
        <v>992</v>
      </c>
      <c r="H73" s="739"/>
      <c r="I73" s="284">
        <f>'Бюд.р.'!H153</f>
        <v>1117.234</v>
      </c>
      <c r="J73" s="274">
        <v>164.7</v>
      </c>
      <c r="K73" s="160">
        <v>164.7</v>
      </c>
      <c r="L73" s="160">
        <v>164.7</v>
      </c>
      <c r="M73" s="298">
        <v>164.7</v>
      </c>
    </row>
    <row r="74" spans="1:13" ht="24" hidden="1">
      <c r="A74" s="168" t="s">
        <v>318</v>
      </c>
      <c r="B74" s="12"/>
      <c r="C74" s="800" t="s">
        <v>275</v>
      </c>
      <c r="D74" s="675"/>
      <c r="E74" s="30" t="s">
        <v>288</v>
      </c>
      <c r="F74" s="30" t="s">
        <v>113</v>
      </c>
      <c r="G74" s="679" t="s">
        <v>724</v>
      </c>
      <c r="H74" s="737" t="s">
        <v>276</v>
      </c>
      <c r="I74" s="256"/>
      <c r="J74" s="275"/>
      <c r="K74" s="205"/>
      <c r="L74" s="205"/>
      <c r="M74" s="265"/>
    </row>
    <row r="75" spans="1:13" ht="12.75" hidden="1">
      <c r="A75" s="169" t="s">
        <v>319</v>
      </c>
      <c r="B75" s="6"/>
      <c r="C75" s="801" t="s">
        <v>291</v>
      </c>
      <c r="D75" s="688"/>
      <c r="E75" s="8" t="s">
        <v>288</v>
      </c>
      <c r="F75" s="8" t="s">
        <v>113</v>
      </c>
      <c r="G75" s="689" t="s">
        <v>724</v>
      </c>
      <c r="H75" s="744" t="s">
        <v>279</v>
      </c>
      <c r="I75" s="256"/>
      <c r="J75" s="275"/>
      <c r="K75" s="205"/>
      <c r="L75" s="205"/>
      <c r="M75" s="265"/>
    </row>
    <row r="76" spans="1:13" ht="12.75" hidden="1">
      <c r="A76" s="170" t="s">
        <v>201</v>
      </c>
      <c r="B76" s="1"/>
      <c r="C76" s="796" t="s">
        <v>114</v>
      </c>
      <c r="D76" s="682"/>
      <c r="E76" s="5" t="s">
        <v>288</v>
      </c>
      <c r="F76" s="5" t="s">
        <v>113</v>
      </c>
      <c r="G76" s="683" t="s">
        <v>724</v>
      </c>
      <c r="H76" s="739" t="s">
        <v>286</v>
      </c>
      <c r="I76" s="256"/>
      <c r="J76" s="276"/>
      <c r="K76" s="161"/>
      <c r="L76" s="161"/>
      <c r="M76" s="299"/>
    </row>
    <row r="77" spans="1:13" ht="12.75" hidden="1">
      <c r="A77" s="170" t="s">
        <v>202</v>
      </c>
      <c r="B77" s="1"/>
      <c r="C77" s="796" t="s">
        <v>117</v>
      </c>
      <c r="D77" s="682"/>
      <c r="E77" s="5" t="s">
        <v>288</v>
      </c>
      <c r="F77" s="5" t="s">
        <v>269</v>
      </c>
      <c r="G77" s="683" t="s">
        <v>724</v>
      </c>
      <c r="H77" s="739" t="s">
        <v>449</v>
      </c>
      <c r="I77" s="256"/>
      <c r="J77" s="276"/>
      <c r="K77" s="161"/>
      <c r="L77" s="161"/>
      <c r="M77" s="299"/>
    </row>
    <row r="78" spans="1:13" ht="12.75" hidden="1">
      <c r="A78" s="170" t="s">
        <v>207</v>
      </c>
      <c r="B78" s="1"/>
      <c r="C78" s="796" t="s">
        <v>118</v>
      </c>
      <c r="D78" s="682"/>
      <c r="E78" s="5" t="s">
        <v>288</v>
      </c>
      <c r="F78" s="5" t="s">
        <v>113</v>
      </c>
      <c r="G78" s="683" t="s">
        <v>724</v>
      </c>
      <c r="H78" s="739" t="s">
        <v>287</v>
      </c>
      <c r="I78" s="256"/>
      <c r="J78" s="276"/>
      <c r="K78" s="161"/>
      <c r="L78" s="161"/>
      <c r="M78" s="299"/>
    </row>
    <row r="79" spans="1:13" ht="12.75" hidden="1">
      <c r="A79" s="169" t="s">
        <v>192</v>
      </c>
      <c r="B79" s="6"/>
      <c r="C79" s="795" t="s">
        <v>295</v>
      </c>
      <c r="D79" s="680"/>
      <c r="E79" s="7" t="s">
        <v>288</v>
      </c>
      <c r="F79" s="7" t="s">
        <v>113</v>
      </c>
      <c r="G79" s="681" t="s">
        <v>724</v>
      </c>
      <c r="H79" s="738" t="s">
        <v>450</v>
      </c>
      <c r="I79" s="256"/>
      <c r="J79" s="275"/>
      <c r="K79" s="205"/>
      <c r="L79" s="205"/>
      <c r="M79" s="265"/>
    </row>
    <row r="80" spans="1:13" ht="12.75" hidden="1">
      <c r="A80" s="172" t="s">
        <v>201</v>
      </c>
      <c r="B80" s="17"/>
      <c r="C80" s="802" t="s">
        <v>119</v>
      </c>
      <c r="D80" s="774"/>
      <c r="E80" s="33" t="s">
        <v>288</v>
      </c>
      <c r="F80" s="33" t="s">
        <v>113</v>
      </c>
      <c r="G80" s="775" t="s">
        <v>724</v>
      </c>
      <c r="H80" s="743" t="s">
        <v>451</v>
      </c>
      <c r="I80" s="256"/>
      <c r="J80" s="276"/>
      <c r="K80" s="161"/>
      <c r="L80" s="161"/>
      <c r="M80" s="299"/>
    </row>
    <row r="81" spans="1:13" ht="12.75" hidden="1">
      <c r="A81" s="172" t="s">
        <v>202</v>
      </c>
      <c r="B81" s="17"/>
      <c r="C81" s="802" t="s">
        <v>120</v>
      </c>
      <c r="D81" s="774"/>
      <c r="E81" s="33" t="s">
        <v>288</v>
      </c>
      <c r="F81" s="33" t="s">
        <v>113</v>
      </c>
      <c r="G81" s="775" t="s">
        <v>724</v>
      </c>
      <c r="H81" s="743" t="s">
        <v>452</v>
      </c>
      <c r="I81" s="256"/>
      <c r="J81" s="276"/>
      <c r="K81" s="161"/>
      <c r="L81" s="161"/>
      <c r="M81" s="299"/>
    </row>
    <row r="82" spans="1:13" ht="12.75" hidden="1">
      <c r="A82" s="173" t="s">
        <v>207</v>
      </c>
      <c r="B82" s="310"/>
      <c r="C82" s="802" t="s">
        <v>121</v>
      </c>
      <c r="D82" s="774"/>
      <c r="E82" s="4" t="s">
        <v>288</v>
      </c>
      <c r="F82" s="4" t="s">
        <v>113</v>
      </c>
      <c r="G82" s="776" t="s">
        <v>724</v>
      </c>
      <c r="H82" s="743" t="s">
        <v>453</v>
      </c>
      <c r="I82" s="256"/>
      <c r="J82" s="276"/>
      <c r="K82" s="161"/>
      <c r="L82" s="161"/>
      <c r="M82" s="299"/>
    </row>
    <row r="83" spans="1:13" ht="14.25" customHeight="1" hidden="1">
      <c r="A83" s="173" t="s">
        <v>208</v>
      </c>
      <c r="B83" s="310"/>
      <c r="C83" s="802" t="s">
        <v>122</v>
      </c>
      <c r="D83" s="774"/>
      <c r="E83" s="4" t="s">
        <v>288</v>
      </c>
      <c r="F83" s="4" t="s">
        <v>113</v>
      </c>
      <c r="G83" s="776" t="s">
        <v>724</v>
      </c>
      <c r="H83" s="743" t="s">
        <v>454</v>
      </c>
      <c r="I83" s="256"/>
      <c r="J83" s="276"/>
      <c r="K83" s="161"/>
      <c r="L83" s="161"/>
      <c r="M83" s="299"/>
    </row>
    <row r="84" spans="1:13" ht="12.75" hidden="1">
      <c r="A84" s="173" t="s">
        <v>209</v>
      </c>
      <c r="B84" s="310"/>
      <c r="C84" s="802" t="s">
        <v>123</v>
      </c>
      <c r="D84" s="774"/>
      <c r="E84" s="4" t="s">
        <v>288</v>
      </c>
      <c r="F84" s="4" t="s">
        <v>113</v>
      </c>
      <c r="G84" s="776" t="s">
        <v>724</v>
      </c>
      <c r="H84" s="743" t="s">
        <v>798</v>
      </c>
      <c r="I84" s="256"/>
      <c r="J84" s="276"/>
      <c r="K84" s="161"/>
      <c r="L84" s="161"/>
      <c r="M84" s="299"/>
    </row>
    <row r="85" spans="1:13" ht="12.75" hidden="1">
      <c r="A85" s="173" t="s">
        <v>210</v>
      </c>
      <c r="B85" s="310"/>
      <c r="C85" s="802" t="s">
        <v>124</v>
      </c>
      <c r="D85" s="774"/>
      <c r="E85" s="4" t="s">
        <v>288</v>
      </c>
      <c r="F85" s="4" t="s">
        <v>113</v>
      </c>
      <c r="G85" s="776" t="s">
        <v>724</v>
      </c>
      <c r="H85" s="743" t="s">
        <v>799</v>
      </c>
      <c r="I85" s="256"/>
      <c r="J85" s="276"/>
      <c r="K85" s="161"/>
      <c r="L85" s="161"/>
      <c r="M85" s="299"/>
    </row>
    <row r="86" spans="1:13" ht="12.75" hidden="1">
      <c r="A86" s="169" t="s">
        <v>193</v>
      </c>
      <c r="B86" s="6"/>
      <c r="C86" s="795" t="s">
        <v>329</v>
      </c>
      <c r="D86" s="680"/>
      <c r="E86" s="7" t="s">
        <v>288</v>
      </c>
      <c r="F86" s="7" t="s">
        <v>113</v>
      </c>
      <c r="G86" s="681" t="s">
        <v>724</v>
      </c>
      <c r="H86" s="738" t="s">
        <v>299</v>
      </c>
      <c r="I86" s="256"/>
      <c r="J86" s="275"/>
      <c r="K86" s="205"/>
      <c r="L86" s="205"/>
      <c r="M86" s="265"/>
    </row>
    <row r="87" spans="1:13" ht="16.5" customHeight="1" hidden="1">
      <c r="A87" s="168" t="s">
        <v>194</v>
      </c>
      <c r="B87" s="12"/>
      <c r="C87" s="800" t="s">
        <v>278</v>
      </c>
      <c r="D87" s="691"/>
      <c r="E87" s="41" t="s">
        <v>288</v>
      </c>
      <c r="F87" s="30" t="s">
        <v>113</v>
      </c>
      <c r="G87" s="777" t="s">
        <v>724</v>
      </c>
      <c r="H87" s="1138" t="s">
        <v>292</v>
      </c>
      <c r="I87" s="256"/>
      <c r="J87" s="275"/>
      <c r="K87" s="205"/>
      <c r="L87" s="205"/>
      <c r="M87" s="265"/>
    </row>
    <row r="88" spans="1:13" ht="15.75" customHeight="1" hidden="1">
      <c r="A88" s="169" t="s">
        <v>195</v>
      </c>
      <c r="B88" s="6"/>
      <c r="C88" s="796" t="s">
        <v>260</v>
      </c>
      <c r="D88" s="682"/>
      <c r="E88" s="5" t="s">
        <v>288</v>
      </c>
      <c r="F88" s="5" t="s">
        <v>113</v>
      </c>
      <c r="G88" s="683" t="s">
        <v>724</v>
      </c>
      <c r="H88" s="739" t="s">
        <v>296</v>
      </c>
      <c r="I88" s="256"/>
      <c r="J88" s="275"/>
      <c r="K88" s="205"/>
      <c r="L88" s="205"/>
      <c r="M88" s="265"/>
    </row>
    <row r="89" spans="1:13" ht="15" customHeight="1" hidden="1">
      <c r="A89" s="169" t="s">
        <v>196</v>
      </c>
      <c r="B89" s="6"/>
      <c r="C89" s="796" t="s">
        <v>261</v>
      </c>
      <c r="D89" s="682"/>
      <c r="E89" s="5" t="s">
        <v>288</v>
      </c>
      <c r="F89" s="5" t="s">
        <v>113</v>
      </c>
      <c r="G89" s="683" t="s">
        <v>724</v>
      </c>
      <c r="H89" s="739" t="s">
        <v>297</v>
      </c>
      <c r="I89" s="256"/>
      <c r="J89" s="275"/>
      <c r="K89" s="205"/>
      <c r="L89" s="205"/>
      <c r="M89" s="265"/>
    </row>
    <row r="90" spans="1:13" ht="15" customHeight="1">
      <c r="A90" s="169"/>
      <c r="B90" s="23" t="s">
        <v>4</v>
      </c>
      <c r="C90" s="1175" t="s">
        <v>1004</v>
      </c>
      <c r="D90" s="675" t="s">
        <v>631</v>
      </c>
      <c r="E90" s="10" t="s">
        <v>475</v>
      </c>
      <c r="F90" s="10" t="s">
        <v>62</v>
      </c>
      <c r="G90" s="676"/>
      <c r="H90" s="1139"/>
      <c r="I90" s="285">
        <f>I91+I95</f>
        <v>25400.087999999996</v>
      </c>
      <c r="J90" s="275"/>
      <c r="K90" s="205"/>
      <c r="L90" s="205"/>
      <c r="M90" s="265"/>
    </row>
    <row r="91" spans="1:13" ht="33.75" customHeight="1">
      <c r="A91" s="169"/>
      <c r="B91" s="734" t="s">
        <v>5</v>
      </c>
      <c r="C91" s="803" t="s">
        <v>65</v>
      </c>
      <c r="D91" s="699">
        <v>968</v>
      </c>
      <c r="E91" s="361">
        <v>104</v>
      </c>
      <c r="F91" s="361" t="s">
        <v>63</v>
      </c>
      <c r="G91" s="686"/>
      <c r="H91" s="736"/>
      <c r="I91" s="663">
        <f>SUM(I92:I94)</f>
        <v>25394.487999999998</v>
      </c>
      <c r="J91" s="275"/>
      <c r="K91" s="205"/>
      <c r="L91" s="205"/>
      <c r="M91" s="265"/>
    </row>
    <row r="92" spans="1:13" ht="21.75" customHeight="1">
      <c r="A92" s="169"/>
      <c r="B92" s="6" t="s">
        <v>35</v>
      </c>
      <c r="C92" s="963" t="s">
        <v>986</v>
      </c>
      <c r="D92" s="720">
        <v>968</v>
      </c>
      <c r="E92" s="720">
        <v>104</v>
      </c>
      <c r="F92" s="720" t="s">
        <v>63</v>
      </c>
      <c r="G92" s="720">
        <v>120</v>
      </c>
      <c r="H92" s="1139"/>
      <c r="I92" s="284">
        <f>'Бюд.р.'!H160</f>
        <v>19630.689</v>
      </c>
      <c r="J92" s="275"/>
      <c r="K92" s="205"/>
      <c r="L92" s="205"/>
      <c r="M92" s="265"/>
    </row>
    <row r="93" spans="1:13" ht="12" customHeight="1">
      <c r="A93" s="169"/>
      <c r="B93" s="6" t="s">
        <v>996</v>
      </c>
      <c r="C93" s="722" t="s">
        <v>988</v>
      </c>
      <c r="D93" s="720">
        <v>968</v>
      </c>
      <c r="E93" s="720">
        <v>104</v>
      </c>
      <c r="F93" s="720" t="s">
        <v>63</v>
      </c>
      <c r="G93" s="720">
        <v>240</v>
      </c>
      <c r="H93" s="1139"/>
      <c r="I93" s="284">
        <f>'Бюд.р.'!H165</f>
        <v>5743.199</v>
      </c>
      <c r="J93" s="275"/>
      <c r="K93" s="205"/>
      <c r="L93" s="205"/>
      <c r="M93" s="265"/>
    </row>
    <row r="94" spans="1:13" ht="12" customHeight="1">
      <c r="A94" s="169"/>
      <c r="B94" s="6" t="s">
        <v>997</v>
      </c>
      <c r="C94" s="722" t="s">
        <v>987</v>
      </c>
      <c r="D94" s="720">
        <v>968</v>
      </c>
      <c r="E94" s="720">
        <v>104</v>
      </c>
      <c r="F94" s="720" t="s">
        <v>63</v>
      </c>
      <c r="G94" s="720">
        <v>850</v>
      </c>
      <c r="H94" s="1139"/>
      <c r="I94" s="284">
        <f>'Бюд.р.'!H202</f>
        <v>20.6</v>
      </c>
      <c r="J94" s="275"/>
      <c r="K94" s="205"/>
      <c r="L94" s="205"/>
      <c r="M94" s="265"/>
    </row>
    <row r="95" spans="1:13" ht="50.25" customHeight="1">
      <c r="A95" s="169"/>
      <c r="B95" s="734" t="s">
        <v>34</v>
      </c>
      <c r="C95" s="803" t="s">
        <v>67</v>
      </c>
      <c r="D95" s="780">
        <v>968</v>
      </c>
      <c r="E95" s="781">
        <v>104</v>
      </c>
      <c r="F95" s="781" t="s">
        <v>68</v>
      </c>
      <c r="G95" s="782"/>
      <c r="H95" s="744"/>
      <c r="I95" s="727">
        <f>I96</f>
        <v>5.6</v>
      </c>
      <c r="J95" s="275"/>
      <c r="K95" s="205"/>
      <c r="L95" s="205"/>
      <c r="M95" s="265"/>
    </row>
    <row r="96" spans="1:13" ht="25.5" customHeight="1">
      <c r="A96" s="169"/>
      <c r="B96" s="310" t="s">
        <v>36</v>
      </c>
      <c r="C96" s="804" t="s">
        <v>776</v>
      </c>
      <c r="D96" s="720">
        <v>968</v>
      </c>
      <c r="E96" s="720">
        <v>104</v>
      </c>
      <c r="F96" s="720" t="s">
        <v>68</v>
      </c>
      <c r="G96" s="720">
        <v>598</v>
      </c>
      <c r="H96" s="743"/>
      <c r="I96" s="721">
        <f>'Бюд.р.'!H210</f>
        <v>5.6</v>
      </c>
      <c r="J96" s="275"/>
      <c r="K96" s="205"/>
      <c r="L96" s="205"/>
      <c r="M96" s="265"/>
    </row>
    <row r="97" spans="1:13" ht="18.75" customHeight="1">
      <c r="A97" s="169"/>
      <c r="B97" s="327" t="s">
        <v>680</v>
      </c>
      <c r="C97" s="838" t="s">
        <v>26</v>
      </c>
      <c r="D97" s="839">
        <v>968</v>
      </c>
      <c r="E97" s="839">
        <v>111</v>
      </c>
      <c r="F97" s="839"/>
      <c r="G97" s="839"/>
      <c r="H97" s="1140"/>
      <c r="I97" s="840">
        <f>I98</f>
        <v>1279.516</v>
      </c>
      <c r="J97" s="275"/>
      <c r="K97" s="205"/>
      <c r="L97" s="205"/>
      <c r="M97" s="265"/>
    </row>
    <row r="98" spans="1:13" ht="15" customHeight="1">
      <c r="A98" s="169"/>
      <c r="B98" s="23" t="s">
        <v>681</v>
      </c>
      <c r="C98" s="385" t="s">
        <v>27</v>
      </c>
      <c r="D98" s="361">
        <v>968</v>
      </c>
      <c r="E98" s="361">
        <v>111</v>
      </c>
      <c r="F98" s="361" t="s">
        <v>28</v>
      </c>
      <c r="G98" s="361"/>
      <c r="H98" s="739"/>
      <c r="I98" s="663">
        <f>I99</f>
        <v>1279.516</v>
      </c>
      <c r="J98" s="275"/>
      <c r="K98" s="205"/>
      <c r="L98" s="205"/>
      <c r="M98" s="265"/>
    </row>
    <row r="99" spans="1:13" ht="13.5" customHeight="1">
      <c r="A99" s="169"/>
      <c r="B99" s="6" t="s">
        <v>434</v>
      </c>
      <c r="C99" s="722" t="s">
        <v>989</v>
      </c>
      <c r="D99" s="720">
        <v>968</v>
      </c>
      <c r="E99" s="720">
        <v>111</v>
      </c>
      <c r="F99" s="720" t="s">
        <v>29</v>
      </c>
      <c r="G99" s="720">
        <v>870</v>
      </c>
      <c r="H99" s="743"/>
      <c r="I99" s="721">
        <f>'Бюд.р.'!H223</f>
        <v>1279.516</v>
      </c>
      <c r="J99" s="275"/>
      <c r="K99" s="205"/>
      <c r="L99" s="205"/>
      <c r="M99" s="265"/>
    </row>
    <row r="100" spans="1:13" ht="15" customHeight="1">
      <c r="A100" s="169"/>
      <c r="B100" s="997" t="s">
        <v>326</v>
      </c>
      <c r="C100" s="994" t="s">
        <v>421</v>
      </c>
      <c r="D100" s="987" t="s">
        <v>631</v>
      </c>
      <c r="E100" s="998" t="s">
        <v>925</v>
      </c>
      <c r="F100" s="995"/>
      <c r="G100" s="996"/>
      <c r="H100" s="1000"/>
      <c r="I100" s="989" t="e">
        <f>I101+I103+I114+I116+I118+I120</f>
        <v>#REF!</v>
      </c>
      <c r="J100" s="270">
        <f>J101+J103+J108+J116</f>
        <v>125</v>
      </c>
      <c r="K100" s="260">
        <f>K101+K103+K108+K116</f>
        <v>125</v>
      </c>
      <c r="L100" s="260">
        <f>L101+L103+L108+L116</f>
        <v>125</v>
      </c>
      <c r="M100" s="294">
        <f>M101+M103+M108+M116</f>
        <v>125</v>
      </c>
    </row>
    <row r="101" spans="1:13" ht="39.75" customHeight="1">
      <c r="A101" s="169"/>
      <c r="B101" s="23" t="s">
        <v>721</v>
      </c>
      <c r="C101" s="388" t="s">
        <v>1007</v>
      </c>
      <c r="D101" s="675" t="s">
        <v>631</v>
      </c>
      <c r="E101" s="10" t="s">
        <v>925</v>
      </c>
      <c r="F101" s="53" t="str">
        <f>F102</f>
        <v>090 01 00</v>
      </c>
      <c r="G101" s="676"/>
      <c r="H101" s="746"/>
      <c r="I101" s="285">
        <f>I102</f>
        <v>109.65</v>
      </c>
      <c r="J101" s="273">
        <f>J102</f>
        <v>0</v>
      </c>
      <c r="K101" s="157">
        <f>K102</f>
        <v>0</v>
      </c>
      <c r="L101" s="157">
        <f>L102</f>
        <v>0</v>
      </c>
      <c r="M101" s="297">
        <f>M102</f>
        <v>0</v>
      </c>
    </row>
    <row r="102" spans="1:13" ht="13.5" customHeight="1">
      <c r="A102" s="171"/>
      <c r="B102" s="6" t="s">
        <v>98</v>
      </c>
      <c r="C102" s="722" t="s">
        <v>988</v>
      </c>
      <c r="D102" s="677" t="s">
        <v>631</v>
      </c>
      <c r="E102" s="153" t="s">
        <v>925</v>
      </c>
      <c r="F102" s="153" t="s">
        <v>1005</v>
      </c>
      <c r="G102" s="952" t="s">
        <v>440</v>
      </c>
      <c r="H102" s="740"/>
      <c r="I102" s="284">
        <f>'Бюд.р.'!H229</f>
        <v>109.65</v>
      </c>
      <c r="J102" s="274">
        <v>0</v>
      </c>
      <c r="K102" s="160">
        <v>0</v>
      </c>
      <c r="L102" s="160">
        <v>0</v>
      </c>
      <c r="M102" s="298">
        <v>0</v>
      </c>
    </row>
    <row r="103" spans="1:13" ht="57" customHeight="1">
      <c r="A103" s="164" t="s">
        <v>681</v>
      </c>
      <c r="B103" s="23" t="s">
        <v>781</v>
      </c>
      <c r="C103" s="793" t="s">
        <v>425</v>
      </c>
      <c r="D103" s="675" t="s">
        <v>631</v>
      </c>
      <c r="E103" s="10" t="s">
        <v>925</v>
      </c>
      <c r="F103" s="54" t="s">
        <v>255</v>
      </c>
      <c r="G103" s="690"/>
      <c r="H103" s="735"/>
      <c r="I103" s="285">
        <f>SUM(I104:I113)</f>
        <v>0</v>
      </c>
      <c r="J103" s="273">
        <f>J104</f>
        <v>125</v>
      </c>
      <c r="K103" s="157">
        <f>K104</f>
        <v>125</v>
      </c>
      <c r="L103" s="157">
        <f>L104</f>
        <v>125</v>
      </c>
      <c r="M103" s="297">
        <f>M104</f>
        <v>125</v>
      </c>
    </row>
    <row r="104" spans="1:13" ht="14.25" customHeight="1" hidden="1">
      <c r="A104" s="165" t="s">
        <v>434</v>
      </c>
      <c r="B104" s="6" t="s">
        <v>472</v>
      </c>
      <c r="C104" s="794" t="s">
        <v>426</v>
      </c>
      <c r="D104" s="677" t="s">
        <v>631</v>
      </c>
      <c r="E104" s="153" t="s">
        <v>925</v>
      </c>
      <c r="F104" s="153" t="s">
        <v>255</v>
      </c>
      <c r="G104" s="678" t="s">
        <v>800</v>
      </c>
      <c r="H104" s="736"/>
      <c r="I104" s="284">
        <f>'Бюд.р.'!H233</f>
        <v>0</v>
      </c>
      <c r="J104" s="274">
        <v>125</v>
      </c>
      <c r="K104" s="160">
        <v>125</v>
      </c>
      <c r="L104" s="160">
        <v>125</v>
      </c>
      <c r="M104" s="298">
        <v>125</v>
      </c>
    </row>
    <row r="105" spans="1:13" ht="24" hidden="1">
      <c r="A105" s="168" t="s">
        <v>435</v>
      </c>
      <c r="B105" s="12"/>
      <c r="C105" s="793" t="s">
        <v>275</v>
      </c>
      <c r="D105" s="691"/>
      <c r="E105" s="30" t="s">
        <v>298</v>
      </c>
      <c r="F105" s="30" t="s">
        <v>719</v>
      </c>
      <c r="G105" s="679" t="s">
        <v>725</v>
      </c>
      <c r="H105" s="737" t="s">
        <v>276</v>
      </c>
      <c r="I105" s="256"/>
      <c r="J105" s="275"/>
      <c r="K105" s="205"/>
      <c r="L105" s="205"/>
      <c r="M105" s="265"/>
    </row>
    <row r="106" spans="1:13" ht="12.75" hidden="1">
      <c r="A106" s="174" t="s">
        <v>701</v>
      </c>
      <c r="B106" s="17"/>
      <c r="C106" s="796" t="s">
        <v>259</v>
      </c>
      <c r="D106" s="682"/>
      <c r="E106" s="5" t="s">
        <v>298</v>
      </c>
      <c r="F106" s="5" t="s">
        <v>719</v>
      </c>
      <c r="G106" s="683" t="s">
        <v>725</v>
      </c>
      <c r="H106" s="739" t="s">
        <v>299</v>
      </c>
      <c r="I106" s="256"/>
      <c r="J106" s="275"/>
      <c r="K106" s="205"/>
      <c r="L106" s="205"/>
      <c r="M106" s="265"/>
    </row>
    <row r="107" spans="1:13" ht="15" customHeight="1" hidden="1">
      <c r="A107" s="171" t="s">
        <v>720</v>
      </c>
      <c r="B107" s="308"/>
      <c r="C107" s="797" t="s">
        <v>433</v>
      </c>
      <c r="D107" s="684"/>
      <c r="E107" s="154" t="s">
        <v>438</v>
      </c>
      <c r="F107" s="154"/>
      <c r="G107" s="692"/>
      <c r="H107" s="1141"/>
      <c r="I107" s="256"/>
      <c r="J107" s="275"/>
      <c r="K107" s="205"/>
      <c r="L107" s="205"/>
      <c r="M107" s="265"/>
    </row>
    <row r="108" spans="1:13" ht="23.25" customHeight="1" hidden="1">
      <c r="A108" s="164" t="s">
        <v>749</v>
      </c>
      <c r="B108" s="23" t="s">
        <v>787</v>
      </c>
      <c r="C108" s="805" t="s">
        <v>580</v>
      </c>
      <c r="D108" s="675" t="s">
        <v>631</v>
      </c>
      <c r="E108" s="10" t="s">
        <v>422</v>
      </c>
      <c r="F108" s="54" t="s">
        <v>460</v>
      </c>
      <c r="G108" s="676"/>
      <c r="H108" s="735"/>
      <c r="I108" s="285">
        <f>I109</f>
        <v>0</v>
      </c>
      <c r="J108" s="273">
        <f>J109</f>
        <v>0</v>
      </c>
      <c r="K108" s="157">
        <f>K109</f>
        <v>0</v>
      </c>
      <c r="L108" s="157">
        <f>L109</f>
        <v>0</v>
      </c>
      <c r="M108" s="297">
        <f>M109</f>
        <v>0</v>
      </c>
    </row>
    <row r="109" spans="1:13" ht="16.5" customHeight="1" hidden="1">
      <c r="A109" s="165" t="s">
        <v>683</v>
      </c>
      <c r="B109" s="6" t="s">
        <v>145</v>
      </c>
      <c r="C109" s="794" t="s">
        <v>426</v>
      </c>
      <c r="D109" s="677" t="s">
        <v>631</v>
      </c>
      <c r="E109" s="153" t="s">
        <v>422</v>
      </c>
      <c r="F109" s="153" t="s">
        <v>460</v>
      </c>
      <c r="G109" s="678" t="s">
        <v>800</v>
      </c>
      <c r="H109" s="736"/>
      <c r="I109" s="284"/>
      <c r="J109" s="274">
        <v>0</v>
      </c>
      <c r="K109" s="160">
        <v>0</v>
      </c>
      <c r="L109" s="160">
        <v>0</v>
      </c>
      <c r="M109" s="298">
        <v>0</v>
      </c>
    </row>
    <row r="110" spans="1:13" ht="12.75" hidden="1">
      <c r="A110" s="168" t="s">
        <v>750</v>
      </c>
      <c r="B110" s="12"/>
      <c r="C110" s="793" t="s">
        <v>275</v>
      </c>
      <c r="D110" s="691"/>
      <c r="E110" s="30" t="s">
        <v>438</v>
      </c>
      <c r="F110" s="30" t="s">
        <v>816</v>
      </c>
      <c r="G110" s="679" t="s">
        <v>801</v>
      </c>
      <c r="H110" s="737" t="s">
        <v>276</v>
      </c>
      <c r="I110" s="256"/>
      <c r="J110" s="275"/>
      <c r="K110" s="205"/>
      <c r="L110" s="205"/>
      <c r="M110" s="265"/>
    </row>
    <row r="111" spans="1:13" ht="23.25" customHeight="1" hidden="1">
      <c r="A111" s="175" t="s">
        <v>751</v>
      </c>
      <c r="B111" s="12"/>
      <c r="C111" s="795" t="s">
        <v>436</v>
      </c>
      <c r="D111" s="680"/>
      <c r="E111" s="7" t="s">
        <v>438</v>
      </c>
      <c r="F111" s="7" t="s">
        <v>816</v>
      </c>
      <c r="G111" s="683" t="s">
        <v>801</v>
      </c>
      <c r="H111" s="738" t="s">
        <v>440</v>
      </c>
      <c r="I111" s="256"/>
      <c r="J111" s="275"/>
      <c r="K111" s="205"/>
      <c r="L111" s="205"/>
      <c r="M111" s="265"/>
    </row>
    <row r="112" spans="1:13" ht="33.75" hidden="1">
      <c r="A112" s="176" t="s">
        <v>201</v>
      </c>
      <c r="B112" s="311"/>
      <c r="C112" s="796" t="s">
        <v>437</v>
      </c>
      <c r="D112" s="682"/>
      <c r="E112" s="5" t="s">
        <v>438</v>
      </c>
      <c r="F112" s="5" t="s">
        <v>816</v>
      </c>
      <c r="G112" s="683" t="s">
        <v>801</v>
      </c>
      <c r="H112" s="739" t="s">
        <v>439</v>
      </c>
      <c r="I112" s="256"/>
      <c r="J112" s="275"/>
      <c r="K112" s="205"/>
      <c r="L112" s="205"/>
      <c r="M112" s="265"/>
    </row>
    <row r="113" spans="1:13" ht="12.75">
      <c r="A113" s="176"/>
      <c r="B113" s="6" t="s">
        <v>472</v>
      </c>
      <c r="C113" s="794" t="s">
        <v>932</v>
      </c>
      <c r="D113" s="677" t="s">
        <v>631</v>
      </c>
      <c r="E113" s="153" t="s">
        <v>925</v>
      </c>
      <c r="F113" s="153" t="s">
        <v>255</v>
      </c>
      <c r="G113" s="678" t="s">
        <v>998</v>
      </c>
      <c r="H113" s="736"/>
      <c r="I113" s="284">
        <f>'Бюд.р.'!H237</f>
        <v>0</v>
      </c>
      <c r="J113" s="275"/>
      <c r="K113" s="205"/>
      <c r="L113" s="205"/>
      <c r="M113" s="265"/>
    </row>
    <row r="114" spans="1:13" ht="16.5" customHeight="1">
      <c r="A114" s="176"/>
      <c r="B114" s="23" t="s">
        <v>12</v>
      </c>
      <c r="C114" s="808" t="s">
        <v>896</v>
      </c>
      <c r="D114" s="724">
        <v>968</v>
      </c>
      <c r="E114" s="724">
        <v>113</v>
      </c>
      <c r="F114" s="724" t="str">
        <f>F115</f>
        <v>092 02 00</v>
      </c>
      <c r="G114" s="724"/>
      <c r="H114" s="741"/>
      <c r="I114" s="719">
        <f>I115</f>
        <v>400</v>
      </c>
      <c r="J114" s="275"/>
      <c r="K114" s="205"/>
      <c r="L114" s="205"/>
      <c r="M114" s="265"/>
    </row>
    <row r="115" spans="1:13" ht="12.75">
      <c r="A115" s="176"/>
      <c r="B115" s="6" t="s">
        <v>13</v>
      </c>
      <c r="C115" s="722" t="s">
        <v>988</v>
      </c>
      <c r="D115" s="720">
        <v>968</v>
      </c>
      <c r="E115" s="720">
        <v>113</v>
      </c>
      <c r="F115" s="720" t="s">
        <v>571</v>
      </c>
      <c r="G115" s="720">
        <v>240</v>
      </c>
      <c r="H115" s="745"/>
      <c r="I115" s="721">
        <f>'ВЕД.СТ Пр.2.'!I78</f>
        <v>400</v>
      </c>
      <c r="J115" s="275"/>
      <c r="K115" s="205"/>
      <c r="L115" s="205"/>
      <c r="M115" s="265"/>
    </row>
    <row r="116" spans="1:13" ht="24.75" customHeight="1">
      <c r="A116" s="176"/>
      <c r="B116" s="23" t="s">
        <v>903</v>
      </c>
      <c r="C116" s="385" t="s">
        <v>1008</v>
      </c>
      <c r="D116" s="675" t="s">
        <v>631</v>
      </c>
      <c r="E116" s="10" t="s">
        <v>925</v>
      </c>
      <c r="F116" s="1176" t="s">
        <v>469</v>
      </c>
      <c r="G116" s="686"/>
      <c r="H116" s="747"/>
      <c r="I116" s="283" t="e">
        <f>I117</f>
        <v>#REF!</v>
      </c>
      <c r="J116" s="277">
        <f>J117</f>
        <v>0</v>
      </c>
      <c r="K116" s="126">
        <f>K117</f>
        <v>0</v>
      </c>
      <c r="L116" s="126">
        <f>L117</f>
        <v>0</v>
      </c>
      <c r="M116" s="300">
        <f>M117</f>
        <v>0</v>
      </c>
    </row>
    <row r="117" spans="1:13" ht="23.25" customHeight="1">
      <c r="A117" s="176"/>
      <c r="B117" s="6" t="s">
        <v>904</v>
      </c>
      <c r="C117" s="722" t="s">
        <v>991</v>
      </c>
      <c r="D117" s="677" t="s">
        <v>631</v>
      </c>
      <c r="E117" s="153" t="s">
        <v>925</v>
      </c>
      <c r="F117" s="153" t="s">
        <v>469</v>
      </c>
      <c r="G117" s="678" t="s">
        <v>883</v>
      </c>
      <c r="H117" s="736"/>
      <c r="I117" s="284" t="e">
        <f>'Бюд.р.'!#REF!</f>
        <v>#REF!</v>
      </c>
      <c r="J117" s="274">
        <v>0</v>
      </c>
      <c r="K117" s="160">
        <v>0</v>
      </c>
      <c r="L117" s="160">
        <v>0</v>
      </c>
      <c r="M117" s="298">
        <v>0</v>
      </c>
    </row>
    <row r="118" spans="1:13" ht="33.75" customHeight="1">
      <c r="A118" s="176"/>
      <c r="B118" s="23" t="s">
        <v>905</v>
      </c>
      <c r="C118" s="808" t="s">
        <v>894</v>
      </c>
      <c r="D118" s="724">
        <v>968</v>
      </c>
      <c r="E118" s="724">
        <v>113</v>
      </c>
      <c r="F118" s="724" t="str">
        <f>F119</f>
        <v>092 06 00</v>
      </c>
      <c r="G118" s="724"/>
      <c r="H118" s="745"/>
      <c r="I118" s="719">
        <f>I119</f>
        <v>333.91999999999996</v>
      </c>
      <c r="J118" s="274"/>
      <c r="K118" s="160"/>
      <c r="L118" s="160"/>
      <c r="M118" s="298"/>
    </row>
    <row r="119" spans="1:13" ht="13.5" customHeight="1">
      <c r="A119" s="176"/>
      <c r="B119" s="921" t="s">
        <v>906</v>
      </c>
      <c r="C119" s="922" t="s">
        <v>426</v>
      </c>
      <c r="D119" s="870">
        <v>968</v>
      </c>
      <c r="E119" s="870">
        <v>113</v>
      </c>
      <c r="F119" s="870" t="s">
        <v>1010</v>
      </c>
      <c r="G119" s="870">
        <v>500</v>
      </c>
      <c r="H119" s="949"/>
      <c r="I119" s="721">
        <f>'Бюд.р.'!H253</f>
        <v>333.91999999999996</v>
      </c>
      <c r="J119" s="274"/>
      <c r="K119" s="160"/>
      <c r="L119" s="160"/>
      <c r="M119" s="298"/>
    </row>
    <row r="120" spans="1:13" ht="24" customHeight="1">
      <c r="A120" s="176"/>
      <c r="B120" s="23" t="s">
        <v>965</v>
      </c>
      <c r="C120" s="388" t="s">
        <v>1015</v>
      </c>
      <c r="D120" s="361">
        <v>968</v>
      </c>
      <c r="E120" s="361">
        <v>113</v>
      </c>
      <c r="F120" s="361" t="str">
        <f>F121</f>
        <v>795 02 00</v>
      </c>
      <c r="G120" s="639"/>
      <c r="H120" s="1127"/>
      <c r="I120" s="719">
        <f>I121</f>
        <v>90</v>
      </c>
      <c r="J120" s="274"/>
      <c r="K120" s="160"/>
      <c r="L120" s="160"/>
      <c r="M120" s="298"/>
    </row>
    <row r="121" spans="1:13" ht="13.5" customHeight="1" thickBot="1">
      <c r="A121" s="176"/>
      <c r="B121" s="921" t="s">
        <v>966</v>
      </c>
      <c r="C121" s="722" t="s">
        <v>988</v>
      </c>
      <c r="D121" s="720">
        <v>968</v>
      </c>
      <c r="E121" s="720">
        <v>113</v>
      </c>
      <c r="F121" s="720" t="s">
        <v>1013</v>
      </c>
      <c r="G121" s="720">
        <v>240</v>
      </c>
      <c r="H121" s="1127"/>
      <c r="I121" s="721">
        <f>'Бюд.р.'!H268</f>
        <v>90</v>
      </c>
      <c r="J121" s="274"/>
      <c r="K121" s="160"/>
      <c r="L121" s="160"/>
      <c r="M121" s="298"/>
    </row>
    <row r="122" spans="1:13" ht="30.75" thickBot="1">
      <c r="A122" s="176"/>
      <c r="B122" s="872" t="s">
        <v>674</v>
      </c>
      <c r="C122" s="1014" t="s">
        <v>262</v>
      </c>
      <c r="D122" s="873" t="s">
        <v>631</v>
      </c>
      <c r="E122" s="874" t="s">
        <v>468</v>
      </c>
      <c r="F122" s="874"/>
      <c r="G122" s="1042"/>
      <c r="H122" s="1142"/>
      <c r="I122" s="1128" t="e">
        <f>I123+I149</f>
        <v>#REF!</v>
      </c>
      <c r="J122" s="279">
        <f>J123</f>
        <v>37.5</v>
      </c>
      <c r="K122" s="264">
        <f>K123</f>
        <v>313.6</v>
      </c>
      <c r="L122" s="264">
        <f>L123</f>
        <v>202</v>
      </c>
      <c r="M122" s="302">
        <f>M123</f>
        <v>58</v>
      </c>
    </row>
    <row r="123" spans="1:13" ht="46.5" customHeight="1">
      <c r="A123" s="176"/>
      <c r="B123" s="977" t="s">
        <v>327</v>
      </c>
      <c r="C123" s="976" t="s">
        <v>923</v>
      </c>
      <c r="D123" s="981" t="s">
        <v>631</v>
      </c>
      <c r="E123" s="982" t="s">
        <v>419</v>
      </c>
      <c r="F123" s="990"/>
      <c r="G123" s="988"/>
      <c r="H123" s="1143"/>
      <c r="I123" s="985" t="e">
        <f>I134+I141+I143</f>
        <v>#REF!</v>
      </c>
      <c r="J123" s="278">
        <f>J141+J143</f>
        <v>37.5</v>
      </c>
      <c r="K123" s="262">
        <f>K141+K143</f>
        <v>313.6</v>
      </c>
      <c r="L123" s="262">
        <f>L141+L143</f>
        <v>202</v>
      </c>
      <c r="M123" s="301">
        <f>M141+M143</f>
        <v>58</v>
      </c>
    </row>
    <row r="124" spans="1:13" ht="12.75" hidden="1">
      <c r="A124" s="176"/>
      <c r="B124" s="311"/>
      <c r="C124" s="793" t="s">
        <v>275</v>
      </c>
      <c r="D124" s="682"/>
      <c r="E124" s="30" t="s">
        <v>438</v>
      </c>
      <c r="F124" s="30" t="s">
        <v>817</v>
      </c>
      <c r="G124" s="679" t="s">
        <v>801</v>
      </c>
      <c r="H124" s="737" t="s">
        <v>276</v>
      </c>
      <c r="I124" s="256"/>
      <c r="J124" s="275"/>
      <c r="K124" s="205"/>
      <c r="L124" s="205"/>
      <c r="M124" s="265"/>
    </row>
    <row r="125" spans="1:13" ht="12.75" hidden="1">
      <c r="A125" s="176"/>
      <c r="B125" s="311"/>
      <c r="C125" s="795" t="s">
        <v>295</v>
      </c>
      <c r="D125" s="682"/>
      <c r="E125" s="5" t="s">
        <v>438</v>
      </c>
      <c r="F125" s="5" t="s">
        <v>817</v>
      </c>
      <c r="G125" s="683" t="s">
        <v>801</v>
      </c>
      <c r="H125" s="739" t="s">
        <v>450</v>
      </c>
      <c r="I125" s="256"/>
      <c r="J125" s="275"/>
      <c r="K125" s="205"/>
      <c r="L125" s="205"/>
      <c r="M125" s="265"/>
    </row>
    <row r="126" spans="1:13" ht="12.75" hidden="1">
      <c r="A126" s="176"/>
      <c r="B126" s="311"/>
      <c r="C126" s="802" t="s">
        <v>124</v>
      </c>
      <c r="D126" s="682"/>
      <c r="E126" s="5" t="s">
        <v>438</v>
      </c>
      <c r="F126" s="5" t="s">
        <v>817</v>
      </c>
      <c r="G126" s="683" t="s">
        <v>801</v>
      </c>
      <c r="H126" s="739" t="s">
        <v>799</v>
      </c>
      <c r="I126" s="256"/>
      <c r="J126" s="275"/>
      <c r="K126" s="205"/>
      <c r="L126" s="205"/>
      <c r="M126" s="265"/>
    </row>
    <row r="127" spans="1:13" ht="27.75" customHeight="1" hidden="1" thickBot="1">
      <c r="A127" s="164" t="s">
        <v>787</v>
      </c>
      <c r="B127" s="308"/>
      <c r="C127" s="800" t="s">
        <v>752</v>
      </c>
      <c r="D127" s="675"/>
      <c r="E127" s="10" t="s">
        <v>438</v>
      </c>
      <c r="F127" s="10" t="s">
        <v>579</v>
      </c>
      <c r="G127" s="676"/>
      <c r="H127" s="735"/>
      <c r="I127" s="256"/>
      <c r="J127" s="275"/>
      <c r="K127" s="205"/>
      <c r="L127" s="205"/>
      <c r="M127" s="265"/>
    </row>
    <row r="128" spans="1:13" ht="12.75" hidden="1">
      <c r="A128" s="165" t="s">
        <v>788</v>
      </c>
      <c r="B128" s="308"/>
      <c r="C128" s="793" t="s">
        <v>166</v>
      </c>
      <c r="D128" s="687"/>
      <c r="E128" s="155" t="s">
        <v>438</v>
      </c>
      <c r="F128" s="155" t="s">
        <v>579</v>
      </c>
      <c r="G128" s="686" t="s">
        <v>801</v>
      </c>
      <c r="H128" s="747"/>
      <c r="I128" s="256"/>
      <c r="J128" s="275"/>
      <c r="K128" s="205"/>
      <c r="L128" s="205"/>
      <c r="M128" s="265"/>
    </row>
    <row r="129" spans="1:13" ht="12.75" hidden="1">
      <c r="A129" s="168" t="s">
        <v>753</v>
      </c>
      <c r="B129" s="12"/>
      <c r="C129" s="793" t="s">
        <v>275</v>
      </c>
      <c r="D129" s="691"/>
      <c r="E129" s="30" t="s">
        <v>438</v>
      </c>
      <c r="F129" s="30" t="s">
        <v>579</v>
      </c>
      <c r="G129" s="679" t="s">
        <v>801</v>
      </c>
      <c r="H129" s="737" t="s">
        <v>276</v>
      </c>
      <c r="I129" s="256"/>
      <c r="J129" s="275"/>
      <c r="K129" s="205"/>
      <c r="L129" s="205"/>
      <c r="M129" s="265"/>
    </row>
    <row r="130" spans="1:13" ht="12.75" hidden="1">
      <c r="A130" s="169" t="s">
        <v>754</v>
      </c>
      <c r="B130" s="6"/>
      <c r="C130" s="795" t="s">
        <v>295</v>
      </c>
      <c r="D130" s="680"/>
      <c r="E130" s="5" t="s">
        <v>438</v>
      </c>
      <c r="F130" s="5" t="s">
        <v>579</v>
      </c>
      <c r="G130" s="683" t="s">
        <v>801</v>
      </c>
      <c r="H130" s="739" t="s">
        <v>450</v>
      </c>
      <c r="I130" s="256"/>
      <c r="J130" s="275"/>
      <c r="K130" s="205"/>
      <c r="L130" s="205"/>
      <c r="M130" s="265"/>
    </row>
    <row r="131" spans="1:13" ht="12.75" hidden="1">
      <c r="A131" s="174" t="s">
        <v>201</v>
      </c>
      <c r="B131" s="17"/>
      <c r="C131" s="802" t="s">
        <v>124</v>
      </c>
      <c r="D131" s="680"/>
      <c r="E131" s="5" t="s">
        <v>438</v>
      </c>
      <c r="F131" s="5" t="s">
        <v>579</v>
      </c>
      <c r="G131" s="683" t="s">
        <v>801</v>
      </c>
      <c r="H131" s="739" t="s">
        <v>799</v>
      </c>
      <c r="I131" s="256"/>
      <c r="J131" s="275"/>
      <c r="K131" s="205"/>
      <c r="L131" s="205"/>
      <c r="M131" s="265"/>
    </row>
    <row r="132" spans="1:13" ht="48" hidden="1" thickBot="1">
      <c r="A132" s="162" t="s">
        <v>674</v>
      </c>
      <c r="B132" s="312"/>
      <c r="C132" s="806" t="s">
        <v>262</v>
      </c>
      <c r="D132" s="696"/>
      <c r="E132" s="192" t="s">
        <v>292</v>
      </c>
      <c r="F132" s="192"/>
      <c r="G132" s="697"/>
      <c r="H132" s="748"/>
      <c r="I132" s="256"/>
      <c r="J132" s="275"/>
      <c r="K132" s="205"/>
      <c r="L132" s="205"/>
      <c r="M132" s="265"/>
    </row>
    <row r="133" spans="1:16" ht="40.5" customHeight="1" hidden="1" thickBot="1">
      <c r="A133" s="163" t="s">
        <v>112</v>
      </c>
      <c r="B133" s="308"/>
      <c r="C133" s="807" t="s">
        <v>780</v>
      </c>
      <c r="D133" s="698"/>
      <c r="E133" s="156" t="s">
        <v>300</v>
      </c>
      <c r="F133" s="156"/>
      <c r="G133" s="685"/>
      <c r="H133" s="740"/>
      <c r="I133" s="256"/>
      <c r="J133" s="275"/>
      <c r="K133" s="205"/>
      <c r="L133" s="205"/>
      <c r="M133" s="265"/>
      <c r="N133" s="125"/>
      <c r="O133" s="125"/>
      <c r="P133" s="125"/>
    </row>
    <row r="134" spans="1:16" ht="16.5" customHeight="1">
      <c r="A134" s="163"/>
      <c r="B134" s="23" t="s">
        <v>722</v>
      </c>
      <c r="C134" s="385" t="s">
        <v>1033</v>
      </c>
      <c r="D134" s="130">
        <v>968</v>
      </c>
      <c r="E134" s="130">
        <v>309</v>
      </c>
      <c r="F134" s="130" t="s">
        <v>726</v>
      </c>
      <c r="G134" s="676"/>
      <c r="H134" s="735"/>
      <c r="I134" s="285" t="e">
        <f>I135+I137+I139</f>
        <v>#REF!</v>
      </c>
      <c r="J134" s="275"/>
      <c r="K134" s="205"/>
      <c r="L134" s="205"/>
      <c r="M134" s="265"/>
      <c r="N134" s="125"/>
      <c r="O134" s="125"/>
      <c r="P134" s="125"/>
    </row>
    <row r="135" spans="1:16" ht="58.5" customHeight="1">
      <c r="A135" s="163"/>
      <c r="B135" s="12" t="s">
        <v>99</v>
      </c>
      <c r="C135" s="1177" t="s">
        <v>1019</v>
      </c>
      <c r="D135" s="781">
        <v>968</v>
      </c>
      <c r="E135" s="781">
        <v>309</v>
      </c>
      <c r="F135" s="781" t="str">
        <f>F136</f>
        <v>219 03 00</v>
      </c>
      <c r="G135" s="781"/>
      <c r="H135" s="742"/>
      <c r="I135" s="727">
        <f>I136</f>
        <v>151.351</v>
      </c>
      <c r="J135" s="275"/>
      <c r="K135" s="205"/>
      <c r="L135" s="205"/>
      <c r="M135" s="265"/>
      <c r="N135" s="125"/>
      <c r="O135" s="125"/>
      <c r="P135" s="125"/>
    </row>
    <row r="136" spans="1:16" ht="13.5" customHeight="1">
      <c r="A136" s="163"/>
      <c r="B136" s="6" t="s">
        <v>146</v>
      </c>
      <c r="C136" s="722" t="s">
        <v>988</v>
      </c>
      <c r="D136" s="720">
        <v>968</v>
      </c>
      <c r="E136" s="720">
        <v>309</v>
      </c>
      <c r="F136" s="720" t="s">
        <v>1020</v>
      </c>
      <c r="G136" s="720">
        <v>240</v>
      </c>
      <c r="H136" s="745"/>
      <c r="I136" s="721">
        <f>'Бюд.р.'!H283</f>
        <v>151.351</v>
      </c>
      <c r="J136" s="275"/>
      <c r="K136" s="205"/>
      <c r="L136" s="205"/>
      <c r="M136" s="265"/>
      <c r="N136" s="125"/>
      <c r="O136" s="125"/>
      <c r="P136" s="125"/>
    </row>
    <row r="137" spans="1:16" ht="38.25" customHeight="1">
      <c r="A137" s="163"/>
      <c r="B137" s="12" t="s">
        <v>226</v>
      </c>
      <c r="C137" s="388" t="s">
        <v>1021</v>
      </c>
      <c r="D137" s="781">
        <v>968</v>
      </c>
      <c r="E137" s="781">
        <v>309</v>
      </c>
      <c r="F137" s="781" t="str">
        <f>F138</f>
        <v>219 01 00</v>
      </c>
      <c r="G137" s="781"/>
      <c r="H137" s="742"/>
      <c r="I137" s="727" t="e">
        <f>I138</f>
        <v>#REF!</v>
      </c>
      <c r="J137" s="275"/>
      <c r="K137" s="205"/>
      <c r="L137" s="205"/>
      <c r="M137" s="265"/>
      <c r="N137" s="125"/>
      <c r="O137" s="125"/>
      <c r="P137" s="125"/>
    </row>
    <row r="138" spans="1:16" ht="12" customHeight="1">
      <c r="A138" s="163"/>
      <c r="B138" s="6" t="s">
        <v>147</v>
      </c>
      <c r="C138" s="722" t="s">
        <v>988</v>
      </c>
      <c r="D138" s="720">
        <v>968</v>
      </c>
      <c r="E138" s="720">
        <v>309</v>
      </c>
      <c r="F138" s="720" t="s">
        <v>1022</v>
      </c>
      <c r="G138" s="720">
        <v>240</v>
      </c>
      <c r="H138" s="745"/>
      <c r="I138" s="721" t="e">
        <f>'Бюд.р.'!#REF!</f>
        <v>#REF!</v>
      </c>
      <c r="J138" s="275"/>
      <c r="K138" s="205"/>
      <c r="L138" s="205"/>
      <c r="M138" s="265"/>
      <c r="N138" s="125"/>
      <c r="O138" s="125"/>
      <c r="P138" s="125"/>
    </row>
    <row r="139" spans="1:16" ht="45" customHeight="1" hidden="1">
      <c r="A139" s="163"/>
      <c r="B139" s="12" t="s">
        <v>148</v>
      </c>
      <c r="C139" s="808" t="s">
        <v>31</v>
      </c>
      <c r="D139" s="781">
        <v>968</v>
      </c>
      <c r="E139" s="781">
        <v>309</v>
      </c>
      <c r="F139" s="781" t="s">
        <v>9</v>
      </c>
      <c r="G139" s="781"/>
      <c r="H139" s="742"/>
      <c r="I139" s="727">
        <f>I140</f>
        <v>0</v>
      </c>
      <c r="J139" s="275"/>
      <c r="K139" s="205"/>
      <c r="L139" s="205"/>
      <c r="M139" s="265"/>
      <c r="N139" s="125"/>
      <c r="O139" s="125"/>
      <c r="P139" s="125"/>
    </row>
    <row r="140" spans="1:16" ht="12.75" customHeight="1" hidden="1">
      <c r="A140" s="163"/>
      <c r="B140" s="6" t="s">
        <v>152</v>
      </c>
      <c r="C140" s="804" t="s">
        <v>426</v>
      </c>
      <c r="D140" s="720">
        <v>968</v>
      </c>
      <c r="E140" s="720">
        <v>309</v>
      </c>
      <c r="F140" s="720" t="s">
        <v>9</v>
      </c>
      <c r="G140" s="720">
        <v>500</v>
      </c>
      <c r="H140" s="745"/>
      <c r="I140" s="721">
        <f>'Бюд.р.'!H292</f>
        <v>0</v>
      </c>
      <c r="J140" s="275"/>
      <c r="K140" s="205"/>
      <c r="L140" s="205"/>
      <c r="M140" s="265"/>
      <c r="N140" s="125"/>
      <c r="O140" s="125"/>
      <c r="P140" s="125"/>
    </row>
    <row r="141" spans="1:13" ht="21.75" customHeight="1" hidden="1">
      <c r="A141" s="164" t="s">
        <v>280</v>
      </c>
      <c r="B141" s="23"/>
      <c r="C141" s="808"/>
      <c r="D141" s="361"/>
      <c r="E141" s="361"/>
      <c r="F141" s="361"/>
      <c r="G141" s="639"/>
      <c r="H141" s="747"/>
      <c r="I141" s="663"/>
      <c r="J141" s="273">
        <f>J142</f>
        <v>37.5</v>
      </c>
      <c r="K141" s="157">
        <f>K142</f>
        <v>288.6</v>
      </c>
      <c r="L141" s="157">
        <f>L142</f>
        <v>202</v>
      </c>
      <c r="M141" s="297">
        <f>M142</f>
        <v>33</v>
      </c>
    </row>
    <row r="142" spans="1:13" ht="13.5" customHeight="1" hidden="1">
      <c r="A142" s="165" t="s">
        <v>198</v>
      </c>
      <c r="B142" s="6"/>
      <c r="C142" s="804"/>
      <c r="D142" s="720"/>
      <c r="E142" s="720"/>
      <c r="F142" s="720"/>
      <c r="G142" s="720"/>
      <c r="H142" s="745"/>
      <c r="I142" s="721"/>
      <c r="J142" s="274">
        <v>37.5</v>
      </c>
      <c r="K142" s="160">
        <v>288.6</v>
      </c>
      <c r="L142" s="160">
        <v>202</v>
      </c>
      <c r="M142" s="298">
        <v>33</v>
      </c>
    </row>
    <row r="143" spans="1:13" ht="45">
      <c r="A143" s="164" t="s">
        <v>268</v>
      </c>
      <c r="B143" s="23" t="s">
        <v>782</v>
      </c>
      <c r="C143" s="808" t="s">
        <v>1018</v>
      </c>
      <c r="D143" s="361">
        <v>968</v>
      </c>
      <c r="E143" s="361">
        <v>309</v>
      </c>
      <c r="F143" s="361" t="str">
        <f>F144</f>
        <v>795 05 00</v>
      </c>
      <c r="G143" s="361"/>
      <c r="H143" s="747"/>
      <c r="I143" s="663">
        <f>I144</f>
        <v>125</v>
      </c>
      <c r="J143" s="273"/>
      <c r="K143" s="157">
        <f>K144</f>
        <v>25</v>
      </c>
      <c r="L143" s="157"/>
      <c r="M143" s="297">
        <f>M144</f>
        <v>25</v>
      </c>
    </row>
    <row r="144" spans="1:13" ht="13.5" customHeight="1" thickBot="1">
      <c r="A144" s="165" t="s">
        <v>728</v>
      </c>
      <c r="B144" s="6" t="s">
        <v>6</v>
      </c>
      <c r="C144" s="804" t="s">
        <v>426</v>
      </c>
      <c r="D144" s="720">
        <v>968</v>
      </c>
      <c r="E144" s="720">
        <v>309</v>
      </c>
      <c r="F144" s="720" t="s">
        <v>11</v>
      </c>
      <c r="G144" s="720">
        <v>240</v>
      </c>
      <c r="H144" s="745"/>
      <c r="I144" s="1060">
        <f>'Бюд.р.'!H304</f>
        <v>125</v>
      </c>
      <c r="J144" s="274"/>
      <c r="K144" s="160">
        <v>25</v>
      </c>
      <c r="L144" s="160"/>
      <c r="M144" s="298">
        <v>25</v>
      </c>
    </row>
    <row r="145" spans="1:13" ht="15.75" hidden="1">
      <c r="A145" s="177" t="s">
        <v>729</v>
      </c>
      <c r="B145" s="312"/>
      <c r="C145" s="793" t="s">
        <v>275</v>
      </c>
      <c r="D145" s="691"/>
      <c r="E145" s="30" t="s">
        <v>300</v>
      </c>
      <c r="F145" s="30" t="s">
        <v>726</v>
      </c>
      <c r="G145" s="679" t="s">
        <v>294</v>
      </c>
      <c r="H145" s="323" t="s">
        <v>276</v>
      </c>
      <c r="I145" s="280"/>
      <c r="J145" s="275"/>
      <c r="K145" s="205"/>
      <c r="L145" s="205"/>
      <c r="M145" s="265"/>
    </row>
    <row r="146" spans="1:13" ht="12.75" hidden="1">
      <c r="A146" s="173" t="s">
        <v>701</v>
      </c>
      <c r="B146" s="308"/>
      <c r="C146" s="796" t="s">
        <v>259</v>
      </c>
      <c r="D146" s="682"/>
      <c r="E146" s="5" t="s">
        <v>300</v>
      </c>
      <c r="F146" s="5" t="s">
        <v>726</v>
      </c>
      <c r="G146" s="683" t="s">
        <v>294</v>
      </c>
      <c r="H146" s="25" t="s">
        <v>299</v>
      </c>
      <c r="I146" s="256"/>
      <c r="J146" s="275"/>
      <c r="K146" s="205"/>
      <c r="L146" s="205"/>
      <c r="M146" s="265"/>
    </row>
    <row r="147" spans="1:13" ht="32.25" hidden="1" thickBot="1">
      <c r="A147" s="162" t="s">
        <v>675</v>
      </c>
      <c r="B147" s="23" t="s">
        <v>153</v>
      </c>
      <c r="C147" s="806" t="s">
        <v>264</v>
      </c>
      <c r="D147" s="696"/>
      <c r="E147" s="192" t="s">
        <v>800</v>
      </c>
      <c r="F147" s="192"/>
      <c r="G147" s="697"/>
      <c r="H147" s="324"/>
      <c r="I147" s="256"/>
      <c r="J147" s="275"/>
      <c r="K147" s="205"/>
      <c r="L147" s="205"/>
      <c r="M147" s="265"/>
    </row>
    <row r="148" spans="1:13" ht="12.75" hidden="1">
      <c r="A148" s="163" t="s">
        <v>112</v>
      </c>
      <c r="B148" s="6" t="s">
        <v>154</v>
      </c>
      <c r="C148" s="797" t="s">
        <v>320</v>
      </c>
      <c r="D148" s="684"/>
      <c r="E148" s="154" t="s">
        <v>284</v>
      </c>
      <c r="F148" s="154"/>
      <c r="G148" s="692"/>
      <c r="H148" s="317"/>
      <c r="I148" s="256"/>
      <c r="J148" s="275"/>
      <c r="K148" s="205"/>
      <c r="L148" s="205"/>
      <c r="M148" s="265"/>
    </row>
    <row r="149" spans="1:13" ht="15" hidden="1">
      <c r="A149" s="163"/>
      <c r="B149" s="914"/>
      <c r="C149" s="915"/>
      <c r="D149" s="916"/>
      <c r="E149" s="916"/>
      <c r="F149" s="917"/>
      <c r="G149" s="918"/>
      <c r="H149" s="919"/>
      <c r="I149" s="920"/>
      <c r="J149" s="275"/>
      <c r="K149" s="205"/>
      <c r="L149" s="205"/>
      <c r="M149" s="265"/>
    </row>
    <row r="150" spans="1:13" ht="12.75" hidden="1">
      <c r="A150" s="163"/>
      <c r="B150" s="308"/>
      <c r="C150" s="847"/>
      <c r="D150" s="848"/>
      <c r="E150" s="848"/>
      <c r="F150" s="848"/>
      <c r="G150" s="848"/>
      <c r="H150" s="849"/>
      <c r="I150" s="850"/>
      <c r="J150" s="275"/>
      <c r="K150" s="205"/>
      <c r="L150" s="205"/>
      <c r="M150" s="265"/>
    </row>
    <row r="151" spans="1:13" ht="13.5" hidden="1" thickBot="1">
      <c r="A151" s="163"/>
      <c r="B151" s="921"/>
      <c r="C151" s="922"/>
      <c r="D151" s="870"/>
      <c r="E151" s="870"/>
      <c r="F151" s="870"/>
      <c r="G151" s="870"/>
      <c r="H151" s="923"/>
      <c r="I151" s="815"/>
      <c r="J151" s="275"/>
      <c r="K151" s="205"/>
      <c r="L151" s="205"/>
      <c r="M151" s="265"/>
    </row>
    <row r="152" spans="1:13" ht="15.75" thickBot="1">
      <c r="A152" s="163"/>
      <c r="B152" s="1030" t="s">
        <v>675</v>
      </c>
      <c r="C152" s="1009" t="s">
        <v>887</v>
      </c>
      <c r="D152" s="1010">
        <v>968</v>
      </c>
      <c r="E152" s="1010">
        <v>400</v>
      </c>
      <c r="F152" s="1010"/>
      <c r="G152" s="1010"/>
      <c r="H152" s="1011"/>
      <c r="I152" s="1012">
        <f>I153+I156</f>
        <v>186.5</v>
      </c>
      <c r="J152" s="275"/>
      <c r="K152" s="205"/>
      <c r="L152" s="205"/>
      <c r="M152" s="265"/>
    </row>
    <row r="153" spans="1:13" ht="15">
      <c r="A153" s="163"/>
      <c r="B153" s="977" t="s">
        <v>328</v>
      </c>
      <c r="C153" s="1121" t="s">
        <v>934</v>
      </c>
      <c r="D153" s="978">
        <v>968</v>
      </c>
      <c r="E153" s="978">
        <v>401</v>
      </c>
      <c r="F153" s="978"/>
      <c r="G153" s="978"/>
      <c r="H153" s="979"/>
      <c r="I153" s="980">
        <f>I154</f>
        <v>166.5</v>
      </c>
      <c r="J153" s="275"/>
      <c r="K153" s="205"/>
      <c r="L153" s="205"/>
      <c r="M153" s="265"/>
    </row>
    <row r="154" spans="1:13" ht="27" customHeight="1">
      <c r="A154" s="163"/>
      <c r="B154" s="308" t="s">
        <v>107</v>
      </c>
      <c r="C154" s="388" t="s">
        <v>1012</v>
      </c>
      <c r="D154" s="361">
        <v>968</v>
      </c>
      <c r="E154" s="361">
        <v>401</v>
      </c>
      <c r="F154" s="361" t="s">
        <v>935</v>
      </c>
      <c r="G154" s="361"/>
      <c r="H154" s="319"/>
      <c r="I154" s="727">
        <f>I155</f>
        <v>166.5</v>
      </c>
      <c r="J154" s="275"/>
      <c r="K154" s="205"/>
      <c r="L154" s="205"/>
      <c r="M154" s="265"/>
    </row>
    <row r="155" spans="1:13" ht="24" customHeight="1">
      <c r="A155" s="163"/>
      <c r="B155" s="921" t="s">
        <v>75</v>
      </c>
      <c r="C155" s="722" t="s">
        <v>990</v>
      </c>
      <c r="D155" s="870">
        <v>968</v>
      </c>
      <c r="E155" s="870">
        <v>401</v>
      </c>
      <c r="F155" s="870" t="s">
        <v>935</v>
      </c>
      <c r="G155" s="870">
        <v>810</v>
      </c>
      <c r="H155" s="923"/>
      <c r="I155" s="815">
        <f>'Бюд.р.'!H314</f>
        <v>166.5</v>
      </c>
      <c r="J155" s="275"/>
      <c r="K155" s="205"/>
      <c r="L155" s="205"/>
      <c r="M155" s="265"/>
    </row>
    <row r="156" spans="1:13" ht="30">
      <c r="A156" s="163"/>
      <c r="B156" s="1122" t="s">
        <v>784</v>
      </c>
      <c r="C156" s="1123" t="s">
        <v>888</v>
      </c>
      <c r="D156" s="992">
        <v>968</v>
      </c>
      <c r="E156" s="992">
        <v>412</v>
      </c>
      <c r="F156" s="992"/>
      <c r="G156" s="992"/>
      <c r="H156" s="1124"/>
      <c r="I156" s="1125">
        <f>I157</f>
        <v>20</v>
      </c>
      <c r="J156" s="275"/>
      <c r="K156" s="205"/>
      <c r="L156" s="205"/>
      <c r="M156" s="265"/>
    </row>
    <row r="157" spans="1:13" ht="26.25" customHeight="1">
      <c r="A157" s="163"/>
      <c r="B157" s="308" t="s">
        <v>100</v>
      </c>
      <c r="C157" s="388" t="s">
        <v>890</v>
      </c>
      <c r="D157" s="361">
        <v>968</v>
      </c>
      <c r="E157" s="361">
        <v>412</v>
      </c>
      <c r="F157" s="361" t="s">
        <v>889</v>
      </c>
      <c r="G157" s="361"/>
      <c r="H157" s="319"/>
      <c r="I157" s="727">
        <f>I158</f>
        <v>20</v>
      </c>
      <c r="J157" s="275"/>
      <c r="K157" s="205"/>
      <c r="L157" s="205"/>
      <c r="M157" s="265"/>
    </row>
    <row r="158" spans="1:13" ht="13.5" thickBot="1">
      <c r="A158" s="163"/>
      <c r="B158" s="921" t="s">
        <v>936</v>
      </c>
      <c r="C158" s="722" t="s">
        <v>988</v>
      </c>
      <c r="D158" s="870">
        <v>968</v>
      </c>
      <c r="E158" s="870">
        <v>412</v>
      </c>
      <c r="F158" s="870" t="s">
        <v>889</v>
      </c>
      <c r="G158" s="870">
        <v>240</v>
      </c>
      <c r="H158" s="923"/>
      <c r="I158" s="815">
        <f>'Бюд.р.'!H323</f>
        <v>20</v>
      </c>
      <c r="J158" s="275"/>
      <c r="K158" s="205"/>
      <c r="L158" s="205"/>
      <c r="M158" s="265"/>
    </row>
    <row r="159" spans="1:13" ht="15.75" thickBot="1">
      <c r="A159" s="163"/>
      <c r="B159" s="1013" t="s">
        <v>676</v>
      </c>
      <c r="C159" s="1014" t="s">
        <v>264</v>
      </c>
      <c r="D159" s="1015" t="s">
        <v>631</v>
      </c>
      <c r="E159" s="1016" t="s">
        <v>405</v>
      </c>
      <c r="F159" s="1016"/>
      <c r="G159" s="1017"/>
      <c r="H159" s="1018"/>
      <c r="I159" s="1019">
        <f>I160</f>
        <v>50164.90299999999</v>
      </c>
      <c r="J159" s="279" t="e">
        <f>J160</f>
        <v>#REF!</v>
      </c>
      <c r="K159" s="264" t="e">
        <f>K160</f>
        <v>#REF!</v>
      </c>
      <c r="L159" s="264" t="e">
        <f>L160</f>
        <v>#REF!</v>
      </c>
      <c r="M159" s="302" t="e">
        <f>M160</f>
        <v>#REF!</v>
      </c>
    </row>
    <row r="160" spans="1:13" ht="15">
      <c r="A160" s="163"/>
      <c r="B160" s="977" t="s">
        <v>390</v>
      </c>
      <c r="C160" s="976" t="s">
        <v>406</v>
      </c>
      <c r="D160" s="981" t="s">
        <v>631</v>
      </c>
      <c r="E160" s="982" t="s">
        <v>407</v>
      </c>
      <c r="F160" s="982"/>
      <c r="G160" s="983"/>
      <c r="H160" s="984"/>
      <c r="I160" s="985">
        <f>I161+I177+I184+I194</f>
        <v>50164.90299999999</v>
      </c>
      <c r="J160" s="272" t="e">
        <f>J161+J177+J184+J194</f>
        <v>#REF!</v>
      </c>
      <c r="K160" s="123" t="e">
        <f>K161+K177+K184+K194</f>
        <v>#REF!</v>
      </c>
      <c r="L160" s="123" t="e">
        <f>L161+L177+L184+L194</f>
        <v>#REF!</v>
      </c>
      <c r="M160" s="296" t="e">
        <f>M161+M177+M184+M194</f>
        <v>#REF!</v>
      </c>
    </row>
    <row r="161" spans="1:13" ht="24.75" customHeight="1">
      <c r="A161" s="163"/>
      <c r="B161" s="21" t="s">
        <v>101</v>
      </c>
      <c r="C161" s="809" t="s">
        <v>1034</v>
      </c>
      <c r="D161" s="783" t="s">
        <v>631</v>
      </c>
      <c r="E161" s="784" t="s">
        <v>407</v>
      </c>
      <c r="F161" s="784" t="s">
        <v>408</v>
      </c>
      <c r="G161" s="785"/>
      <c r="H161" s="786"/>
      <c r="I161" s="787">
        <f>I162+I164+I166+I169</f>
        <v>36121.721999999994</v>
      </c>
      <c r="J161" s="124" t="e">
        <f>J162+#REF!+#REF!+#REF!+#REF!</f>
        <v>#REF!</v>
      </c>
      <c r="K161" s="122" t="e">
        <f>K162+#REF!+#REF!+#REF!+#REF!</f>
        <v>#REF!</v>
      </c>
      <c r="L161" s="122" t="e">
        <f>L162+#REF!+#REF!+#REF!+#REF!</f>
        <v>#REF!</v>
      </c>
      <c r="M161" s="266" t="e">
        <f>M162+#REF!+#REF!+#REF!+#REF!</f>
        <v>#REF!</v>
      </c>
    </row>
    <row r="162" spans="1:13" ht="34.5" customHeight="1">
      <c r="A162" s="164" t="s">
        <v>280</v>
      </c>
      <c r="B162" s="23" t="s">
        <v>102</v>
      </c>
      <c r="C162" s="810" t="s">
        <v>409</v>
      </c>
      <c r="D162" s="687" t="s">
        <v>631</v>
      </c>
      <c r="E162" s="155" t="s">
        <v>407</v>
      </c>
      <c r="F162" s="155" t="s">
        <v>410</v>
      </c>
      <c r="G162" s="686"/>
      <c r="H162" s="321"/>
      <c r="I162" s="663">
        <f>I163</f>
        <v>32358.722999999998</v>
      </c>
      <c r="J162" s="273">
        <f>SUM(J163:J165)</f>
        <v>0</v>
      </c>
      <c r="K162" s="157">
        <f>SUM(K163:K165)</f>
        <v>1764.8</v>
      </c>
      <c r="L162" s="157">
        <f>SUM(L163:L165)</f>
        <v>4118</v>
      </c>
      <c r="M162" s="297">
        <f>SUM(M163:M165)</f>
        <v>0</v>
      </c>
    </row>
    <row r="163" spans="1:13" ht="12.75">
      <c r="A163" s="165" t="s">
        <v>198</v>
      </c>
      <c r="B163" s="6" t="s">
        <v>937</v>
      </c>
      <c r="C163" s="722" t="s">
        <v>988</v>
      </c>
      <c r="D163" s="677" t="s">
        <v>631</v>
      </c>
      <c r="E163" s="153" t="s">
        <v>407</v>
      </c>
      <c r="F163" s="153" t="s">
        <v>410</v>
      </c>
      <c r="G163" s="678" t="s">
        <v>440</v>
      </c>
      <c r="H163" s="319"/>
      <c r="I163" s="284">
        <f>'Бюд.р.'!H331</f>
        <v>32358.722999999998</v>
      </c>
      <c r="J163" s="274"/>
      <c r="K163" s="160">
        <v>1764.8</v>
      </c>
      <c r="L163" s="160">
        <v>4118</v>
      </c>
      <c r="M163" s="298"/>
    </row>
    <row r="164" spans="1:13" ht="22.5">
      <c r="A164" s="178" t="s">
        <v>199</v>
      </c>
      <c r="B164" s="23" t="s">
        <v>938</v>
      </c>
      <c r="C164" s="970" t="s">
        <v>1035</v>
      </c>
      <c r="D164" s="675" t="s">
        <v>631</v>
      </c>
      <c r="E164" s="10" t="s">
        <v>407</v>
      </c>
      <c r="F164" s="10" t="s">
        <v>411</v>
      </c>
      <c r="G164" s="676"/>
      <c r="H164" s="323"/>
      <c r="I164" s="727">
        <f>I165</f>
        <v>473.057</v>
      </c>
      <c r="J164" s="275"/>
      <c r="K164" s="205"/>
      <c r="L164" s="205"/>
      <c r="M164" s="265"/>
    </row>
    <row r="165" spans="1:13" ht="12.75">
      <c r="A165" s="179" t="s">
        <v>701</v>
      </c>
      <c r="B165" s="6" t="s">
        <v>939</v>
      </c>
      <c r="C165" s="722" t="s">
        <v>988</v>
      </c>
      <c r="D165" s="677" t="s">
        <v>631</v>
      </c>
      <c r="E165" s="153" t="s">
        <v>407</v>
      </c>
      <c r="F165" s="153" t="s">
        <v>411</v>
      </c>
      <c r="G165" s="678" t="s">
        <v>440</v>
      </c>
      <c r="H165" s="25"/>
      <c r="I165" s="284">
        <f>'Бюд.р.'!H340</f>
        <v>473.057</v>
      </c>
      <c r="J165" s="275"/>
      <c r="K165" s="205"/>
      <c r="L165" s="205"/>
      <c r="M165" s="265"/>
    </row>
    <row r="166" spans="1:13" ht="12.75">
      <c r="A166" s="179"/>
      <c r="B166" s="23" t="s">
        <v>940</v>
      </c>
      <c r="C166" s="808" t="s">
        <v>32</v>
      </c>
      <c r="D166" s="361">
        <v>968</v>
      </c>
      <c r="E166" s="361">
        <v>503</v>
      </c>
      <c r="F166" s="361" t="s">
        <v>412</v>
      </c>
      <c r="G166" s="361"/>
      <c r="H166" s="25"/>
      <c r="I166" s="727">
        <f>I167+I168</f>
        <v>2616.2039999999997</v>
      </c>
      <c r="J166" s="274"/>
      <c r="K166" s="160"/>
      <c r="L166" s="160"/>
      <c r="M166" s="298"/>
    </row>
    <row r="167" spans="1:13" ht="12.75">
      <c r="A167" s="179"/>
      <c r="B167" s="6" t="s">
        <v>941</v>
      </c>
      <c r="C167" s="722" t="s">
        <v>988</v>
      </c>
      <c r="D167" s="720">
        <v>968</v>
      </c>
      <c r="E167" s="720">
        <v>503</v>
      </c>
      <c r="F167" s="720" t="s">
        <v>412</v>
      </c>
      <c r="G167" s="720">
        <v>240</v>
      </c>
      <c r="H167" s="322"/>
      <c r="I167" s="721">
        <f>'Бюд.р.'!H345</f>
        <v>2616.2039999999997</v>
      </c>
      <c r="J167" s="274"/>
      <c r="K167" s="160"/>
      <c r="L167" s="160"/>
      <c r="M167" s="298"/>
    </row>
    <row r="168" spans="1:13" ht="33.75" hidden="1">
      <c r="A168" s="179"/>
      <c r="B168" s="6" t="s">
        <v>79</v>
      </c>
      <c r="C168" s="804" t="s">
        <v>777</v>
      </c>
      <c r="D168" s="720">
        <v>968</v>
      </c>
      <c r="E168" s="720">
        <v>503</v>
      </c>
      <c r="F168" s="720" t="s">
        <v>412</v>
      </c>
      <c r="G168" s="720">
        <v>599</v>
      </c>
      <c r="H168" s="322"/>
      <c r="I168" s="721">
        <f>'Бюд.р.'!H349</f>
        <v>0</v>
      </c>
      <c r="J168" s="274"/>
      <c r="K168" s="160"/>
      <c r="L168" s="160"/>
      <c r="M168" s="298"/>
    </row>
    <row r="169" spans="1:13" ht="33.75">
      <c r="A169" s="179"/>
      <c r="B169" s="23" t="s">
        <v>1036</v>
      </c>
      <c r="C169" s="808" t="s">
        <v>413</v>
      </c>
      <c r="D169" s="361">
        <v>968</v>
      </c>
      <c r="E169" s="361">
        <v>503</v>
      </c>
      <c r="F169" s="361" t="s">
        <v>414</v>
      </c>
      <c r="G169" s="361"/>
      <c r="H169" s="322"/>
      <c r="I169" s="727">
        <f>I170</f>
        <v>673.738</v>
      </c>
      <c r="J169" s="274"/>
      <c r="K169" s="160"/>
      <c r="L169" s="160"/>
      <c r="M169" s="298"/>
    </row>
    <row r="170" spans="1:13" ht="12.75">
      <c r="A170" s="179"/>
      <c r="B170" s="6" t="s">
        <v>1037</v>
      </c>
      <c r="C170" s="722" t="s">
        <v>988</v>
      </c>
      <c r="D170" s="720">
        <v>968</v>
      </c>
      <c r="E170" s="720">
        <v>503</v>
      </c>
      <c r="F170" s="720" t="s">
        <v>414</v>
      </c>
      <c r="G170" s="720">
        <v>240</v>
      </c>
      <c r="H170" s="322"/>
      <c r="I170" s="721">
        <f>'Бюд.р.'!H356</f>
        <v>673.738</v>
      </c>
      <c r="J170" s="274"/>
      <c r="K170" s="160"/>
      <c r="L170" s="160"/>
      <c r="M170" s="298"/>
    </row>
    <row r="171" spans="1:13" ht="24" hidden="1">
      <c r="A171" s="178" t="s">
        <v>703</v>
      </c>
      <c r="B171" s="23"/>
      <c r="C171" s="793" t="s">
        <v>275</v>
      </c>
      <c r="D171" s="691"/>
      <c r="E171" s="30" t="s">
        <v>284</v>
      </c>
      <c r="F171" s="30" t="s">
        <v>39</v>
      </c>
      <c r="G171" s="679" t="s">
        <v>283</v>
      </c>
      <c r="H171" s="323" t="s">
        <v>276</v>
      </c>
      <c r="I171" s="256"/>
      <c r="J171" s="275"/>
      <c r="K171" s="205"/>
      <c r="L171" s="205"/>
      <c r="M171" s="265"/>
    </row>
    <row r="172" spans="1:13" ht="12.75" hidden="1">
      <c r="A172" s="180" t="s">
        <v>701</v>
      </c>
      <c r="B172" s="2"/>
      <c r="C172" s="796" t="s">
        <v>259</v>
      </c>
      <c r="D172" s="682"/>
      <c r="E172" s="5" t="s">
        <v>284</v>
      </c>
      <c r="F172" s="5" t="s">
        <v>39</v>
      </c>
      <c r="G172" s="683" t="s">
        <v>283</v>
      </c>
      <c r="H172" s="25" t="s">
        <v>299</v>
      </c>
      <c r="I172" s="256"/>
      <c r="J172" s="275"/>
      <c r="K172" s="205"/>
      <c r="L172" s="205"/>
      <c r="M172" s="265"/>
    </row>
    <row r="173" spans="1:13" ht="109.5" customHeight="1" hidden="1">
      <c r="A173" s="164" t="s">
        <v>704</v>
      </c>
      <c r="B173" s="308"/>
      <c r="C173" s="799" t="s">
        <v>187</v>
      </c>
      <c r="D173" s="675"/>
      <c r="E173" s="10" t="s">
        <v>284</v>
      </c>
      <c r="F173" s="10" t="s">
        <v>746</v>
      </c>
      <c r="G173" s="676"/>
      <c r="H173" s="318"/>
      <c r="I173" s="256"/>
      <c r="J173" s="275"/>
      <c r="K173" s="205"/>
      <c r="L173" s="205"/>
      <c r="M173" s="265"/>
    </row>
    <row r="174" spans="1:13" ht="22.5" customHeight="1" hidden="1">
      <c r="A174" s="165" t="s">
        <v>705</v>
      </c>
      <c r="B174" s="308"/>
      <c r="C174" s="810" t="s">
        <v>884</v>
      </c>
      <c r="D174" s="687"/>
      <c r="E174" s="155" t="s">
        <v>284</v>
      </c>
      <c r="F174" s="155" t="s">
        <v>746</v>
      </c>
      <c r="G174" s="686" t="s">
        <v>283</v>
      </c>
      <c r="H174" s="321"/>
      <c r="I174" s="256"/>
      <c r="J174" s="275"/>
      <c r="K174" s="205"/>
      <c r="L174" s="205"/>
      <c r="M174" s="265"/>
    </row>
    <row r="175" spans="1:13" ht="12.75" customHeight="1" hidden="1">
      <c r="A175" s="178" t="s">
        <v>706</v>
      </c>
      <c r="B175" s="23"/>
      <c r="C175" s="793" t="s">
        <v>275</v>
      </c>
      <c r="D175" s="691"/>
      <c r="E175" s="30" t="s">
        <v>284</v>
      </c>
      <c r="F175" s="30" t="s">
        <v>745</v>
      </c>
      <c r="G175" s="679" t="s">
        <v>283</v>
      </c>
      <c r="H175" s="323" t="s">
        <v>276</v>
      </c>
      <c r="I175" s="256"/>
      <c r="J175" s="275"/>
      <c r="K175" s="205"/>
      <c r="L175" s="205"/>
      <c r="M175" s="265"/>
    </row>
    <row r="176" spans="1:13" ht="12.75" customHeight="1" hidden="1">
      <c r="A176" s="180" t="s">
        <v>701</v>
      </c>
      <c r="B176" s="2"/>
      <c r="C176" s="796" t="s">
        <v>259</v>
      </c>
      <c r="D176" s="682"/>
      <c r="E176" s="5" t="s">
        <v>284</v>
      </c>
      <c r="F176" s="5" t="s">
        <v>745</v>
      </c>
      <c r="G176" s="683" t="s">
        <v>283</v>
      </c>
      <c r="H176" s="25" t="s">
        <v>299</v>
      </c>
      <c r="I176" s="256"/>
      <c r="J176" s="275"/>
      <c r="K176" s="205"/>
      <c r="L176" s="205"/>
      <c r="M176" s="265"/>
    </row>
    <row r="177" spans="1:13" ht="24.75" customHeight="1">
      <c r="A177" s="180"/>
      <c r="B177" s="22" t="s">
        <v>942</v>
      </c>
      <c r="C177" s="968" t="s">
        <v>1023</v>
      </c>
      <c r="D177" s="700" t="s">
        <v>631</v>
      </c>
      <c r="E177" s="261" t="s">
        <v>407</v>
      </c>
      <c r="F177" s="261" t="s">
        <v>418</v>
      </c>
      <c r="G177" s="701"/>
      <c r="H177" s="760"/>
      <c r="I177" s="268">
        <f>I178+I180+I182</f>
        <v>350</v>
      </c>
      <c r="J177" s="124">
        <f>J178+J180+J182</f>
        <v>0</v>
      </c>
      <c r="K177" s="122">
        <f>K178+K180+K182</f>
        <v>2087.1</v>
      </c>
      <c r="L177" s="122">
        <f>L178+L180+L182</f>
        <v>2263.6</v>
      </c>
      <c r="M177" s="266">
        <f>M178+M180+M182</f>
        <v>0</v>
      </c>
    </row>
    <row r="178" spans="1:13" ht="23.25" customHeight="1">
      <c r="A178" s="164" t="s">
        <v>704</v>
      </c>
      <c r="B178" s="23" t="s">
        <v>943</v>
      </c>
      <c r="C178" s="793" t="s">
        <v>462</v>
      </c>
      <c r="D178" s="675" t="s">
        <v>631</v>
      </c>
      <c r="E178" s="10" t="s">
        <v>407</v>
      </c>
      <c r="F178" s="10" t="s">
        <v>463</v>
      </c>
      <c r="G178" s="676"/>
      <c r="H178" s="318"/>
      <c r="I178" s="285">
        <f>I179</f>
        <v>0</v>
      </c>
      <c r="J178" s="273">
        <f>J179</f>
        <v>0</v>
      </c>
      <c r="K178" s="157">
        <f>K179</f>
        <v>1087.1</v>
      </c>
      <c r="L178" s="157">
        <f>L179</f>
        <v>1666</v>
      </c>
      <c r="M178" s="297">
        <f>M179</f>
        <v>0</v>
      </c>
    </row>
    <row r="179" spans="1:13" ht="12.75">
      <c r="A179" s="50" t="s">
        <v>705</v>
      </c>
      <c r="B179" s="2" t="s">
        <v>944</v>
      </c>
      <c r="C179" s="722" t="s">
        <v>988</v>
      </c>
      <c r="D179" s="677" t="s">
        <v>631</v>
      </c>
      <c r="E179" s="153" t="s">
        <v>407</v>
      </c>
      <c r="F179" s="153" t="s">
        <v>463</v>
      </c>
      <c r="G179" s="678" t="s">
        <v>440</v>
      </c>
      <c r="H179" s="319"/>
      <c r="I179" s="284">
        <f>'Бюд.р.'!H365</f>
        <v>0</v>
      </c>
      <c r="J179" s="274">
        <v>0</v>
      </c>
      <c r="K179" s="160">
        <v>1087.1</v>
      </c>
      <c r="L179" s="160">
        <v>1666</v>
      </c>
      <c r="M179" s="298">
        <v>0</v>
      </c>
    </row>
    <row r="180" spans="1:13" ht="22.5">
      <c r="A180" s="164" t="s">
        <v>707</v>
      </c>
      <c r="B180" s="23" t="s">
        <v>945</v>
      </c>
      <c r="C180" s="810" t="s">
        <v>464</v>
      </c>
      <c r="D180" s="675" t="s">
        <v>631</v>
      </c>
      <c r="E180" s="10" t="s">
        <v>407</v>
      </c>
      <c r="F180" s="10" t="s">
        <v>395</v>
      </c>
      <c r="G180" s="676"/>
      <c r="H180" s="318"/>
      <c r="I180" s="285">
        <f>I181</f>
        <v>0</v>
      </c>
      <c r="J180" s="273">
        <f>J181</f>
        <v>0</v>
      </c>
      <c r="K180" s="157">
        <f>K181</f>
        <v>500</v>
      </c>
      <c r="L180" s="157">
        <f>L181</f>
        <v>300</v>
      </c>
      <c r="M180" s="297">
        <f>M181</f>
        <v>0</v>
      </c>
    </row>
    <row r="181" spans="1:13" ht="12.75">
      <c r="A181" s="50" t="s">
        <v>708</v>
      </c>
      <c r="B181" s="2" t="s">
        <v>946</v>
      </c>
      <c r="C181" s="722" t="s">
        <v>988</v>
      </c>
      <c r="D181" s="677" t="s">
        <v>631</v>
      </c>
      <c r="E181" s="153" t="s">
        <v>407</v>
      </c>
      <c r="F181" s="153" t="s">
        <v>395</v>
      </c>
      <c r="G181" s="678" t="s">
        <v>440</v>
      </c>
      <c r="H181" s="319"/>
      <c r="I181" s="284">
        <f>'Бюд.р.'!H371</f>
        <v>0</v>
      </c>
      <c r="J181" s="274">
        <v>0</v>
      </c>
      <c r="K181" s="160">
        <v>500</v>
      </c>
      <c r="L181" s="160">
        <v>300</v>
      </c>
      <c r="M181" s="298">
        <v>0</v>
      </c>
    </row>
    <row r="182" spans="1:13" ht="22.5">
      <c r="A182" s="257"/>
      <c r="B182" s="313" t="s">
        <v>947</v>
      </c>
      <c r="C182" s="810" t="s">
        <v>394</v>
      </c>
      <c r="D182" s="675" t="s">
        <v>631</v>
      </c>
      <c r="E182" s="10" t="s">
        <v>407</v>
      </c>
      <c r="F182" s="10" t="s">
        <v>1024</v>
      </c>
      <c r="G182" s="676"/>
      <c r="H182" s="323"/>
      <c r="I182" s="285">
        <f>I183</f>
        <v>350</v>
      </c>
      <c r="J182" s="273">
        <f>J183</f>
        <v>0</v>
      </c>
      <c r="K182" s="157">
        <f>K183</f>
        <v>500</v>
      </c>
      <c r="L182" s="157">
        <f>L183</f>
        <v>297.6</v>
      </c>
      <c r="M182" s="297">
        <f>M183</f>
        <v>0</v>
      </c>
    </row>
    <row r="183" spans="1:13" ht="13.5" customHeight="1">
      <c r="A183" s="257"/>
      <c r="B183" s="56" t="s">
        <v>948</v>
      </c>
      <c r="C183" s="722" t="s">
        <v>988</v>
      </c>
      <c r="D183" s="677" t="s">
        <v>631</v>
      </c>
      <c r="E183" s="153" t="s">
        <v>407</v>
      </c>
      <c r="F183" s="153" t="s">
        <v>1024</v>
      </c>
      <c r="G183" s="678" t="s">
        <v>440</v>
      </c>
      <c r="H183" s="25"/>
      <c r="I183" s="284">
        <f>'Бюд.р.'!H376</f>
        <v>350</v>
      </c>
      <c r="J183" s="274">
        <v>0</v>
      </c>
      <c r="K183" s="160">
        <v>500</v>
      </c>
      <c r="L183" s="160">
        <v>297.6</v>
      </c>
      <c r="M183" s="298">
        <v>0</v>
      </c>
    </row>
    <row r="184" spans="1:13" ht="15" customHeight="1">
      <c r="A184" s="257"/>
      <c r="B184" s="22" t="s">
        <v>949</v>
      </c>
      <c r="C184" s="811" t="s">
        <v>711</v>
      </c>
      <c r="D184" s="700" t="s">
        <v>631</v>
      </c>
      <c r="E184" s="261" t="s">
        <v>407</v>
      </c>
      <c r="F184" s="261" t="s">
        <v>712</v>
      </c>
      <c r="G184" s="702"/>
      <c r="H184" s="760"/>
      <c r="I184" s="268">
        <f>I185+I188+I192+I190</f>
        <v>8005.506</v>
      </c>
      <c r="J184" s="124">
        <f>J185+J188</f>
        <v>0</v>
      </c>
      <c r="K184" s="122">
        <f>K185+K188</f>
        <v>4320.8</v>
      </c>
      <c r="L184" s="122">
        <f>L185+L188</f>
        <v>8025.1</v>
      </c>
      <c r="M184" s="266">
        <f>M185+M188</f>
        <v>0</v>
      </c>
    </row>
    <row r="185" spans="1:13" ht="24" customHeight="1">
      <c r="A185" s="257"/>
      <c r="B185" s="313" t="s">
        <v>950</v>
      </c>
      <c r="C185" s="388" t="s">
        <v>1025</v>
      </c>
      <c r="D185" s="687" t="s">
        <v>631</v>
      </c>
      <c r="E185" s="155" t="s">
        <v>407</v>
      </c>
      <c r="F185" s="155" t="s">
        <v>709</v>
      </c>
      <c r="G185" s="686"/>
      <c r="H185" s="320"/>
      <c r="I185" s="663">
        <f>SUM(I186:I187)</f>
        <v>7555.506</v>
      </c>
      <c r="J185" s="273">
        <f>SUM(J186:J187)</f>
        <v>0</v>
      </c>
      <c r="K185" s="157">
        <f>SUM(K186:K187)</f>
        <v>3963.7</v>
      </c>
      <c r="L185" s="157">
        <f>SUM(L186:L187)</f>
        <v>7464.6</v>
      </c>
      <c r="M185" s="297">
        <f>SUM(M186:M187)</f>
        <v>0</v>
      </c>
    </row>
    <row r="186" spans="1:13" ht="13.5" customHeight="1" thickBot="1">
      <c r="A186" s="257"/>
      <c r="B186" s="56" t="s">
        <v>951</v>
      </c>
      <c r="C186" s="722" t="s">
        <v>988</v>
      </c>
      <c r="D186" s="677" t="s">
        <v>631</v>
      </c>
      <c r="E186" s="153" t="s">
        <v>407</v>
      </c>
      <c r="F186" s="153" t="s">
        <v>709</v>
      </c>
      <c r="G186" s="678" t="s">
        <v>440</v>
      </c>
      <c r="H186" s="25"/>
      <c r="I186" s="284">
        <f>'Бюд.р.'!H385</f>
        <v>7555.506</v>
      </c>
      <c r="J186" s="274">
        <v>0</v>
      </c>
      <c r="K186" s="160">
        <v>2852.2</v>
      </c>
      <c r="L186" s="160">
        <v>4871.1</v>
      </c>
      <c r="M186" s="298">
        <v>0</v>
      </c>
    </row>
    <row r="187" spans="1:13" ht="36" customHeight="1" hidden="1" thickBot="1">
      <c r="A187" s="257"/>
      <c r="B187" s="56" t="s">
        <v>80</v>
      </c>
      <c r="C187" s="794" t="s">
        <v>777</v>
      </c>
      <c r="D187" s="677" t="s">
        <v>631</v>
      </c>
      <c r="E187" s="153" t="s">
        <v>407</v>
      </c>
      <c r="F187" s="153" t="s">
        <v>709</v>
      </c>
      <c r="G187" s="678" t="s">
        <v>461</v>
      </c>
      <c r="H187" s="25"/>
      <c r="I187" s="284">
        <f>'Бюд.р.'!H388</f>
        <v>0</v>
      </c>
      <c r="J187" s="274">
        <v>0</v>
      </c>
      <c r="K187" s="160">
        <v>1111.5</v>
      </c>
      <c r="L187" s="160">
        <v>2593.5</v>
      </c>
      <c r="M187" s="298">
        <v>0</v>
      </c>
    </row>
    <row r="188" spans="1:13" ht="16.5" customHeight="1">
      <c r="A188" s="182" t="s">
        <v>671</v>
      </c>
      <c r="B188" s="23" t="s">
        <v>952</v>
      </c>
      <c r="C188" s="388" t="s">
        <v>1026</v>
      </c>
      <c r="D188" s="687" t="s">
        <v>631</v>
      </c>
      <c r="E188" s="155" t="s">
        <v>407</v>
      </c>
      <c r="F188" s="155" t="s">
        <v>713</v>
      </c>
      <c r="G188" s="686"/>
      <c r="H188" s="321"/>
      <c r="I188" s="663">
        <f>I189</f>
        <v>300</v>
      </c>
      <c r="J188" s="273">
        <f>J189</f>
        <v>0</v>
      </c>
      <c r="K188" s="157">
        <f>K189</f>
        <v>357.1</v>
      </c>
      <c r="L188" s="157">
        <f>L189</f>
        <v>560.5</v>
      </c>
      <c r="M188" s="297">
        <f>M189</f>
        <v>0</v>
      </c>
    </row>
    <row r="189" spans="1:13" ht="12.75">
      <c r="A189" s="50" t="s">
        <v>672</v>
      </c>
      <c r="B189" s="2" t="s">
        <v>953</v>
      </c>
      <c r="C189" s="722" t="s">
        <v>988</v>
      </c>
      <c r="D189" s="677" t="s">
        <v>631</v>
      </c>
      <c r="E189" s="153" t="s">
        <v>407</v>
      </c>
      <c r="F189" s="153" t="s">
        <v>713</v>
      </c>
      <c r="G189" s="678" t="s">
        <v>440</v>
      </c>
      <c r="H189" s="319"/>
      <c r="I189" s="284">
        <f>'Бюд.р.'!H395</f>
        <v>300</v>
      </c>
      <c r="J189" s="274">
        <v>0</v>
      </c>
      <c r="K189" s="160">
        <v>357.1</v>
      </c>
      <c r="L189" s="160">
        <v>560.5</v>
      </c>
      <c r="M189" s="298">
        <v>0</v>
      </c>
    </row>
    <row r="190" spans="1:13" ht="36" customHeight="1">
      <c r="A190" s="1180"/>
      <c r="B190" s="314" t="s">
        <v>954</v>
      </c>
      <c r="C190" s="388" t="s">
        <v>1045</v>
      </c>
      <c r="D190" s="699">
        <v>968</v>
      </c>
      <c r="E190" s="361">
        <v>503</v>
      </c>
      <c r="F190" s="1178" t="str">
        <f>F191</f>
        <v>600 03 04</v>
      </c>
      <c r="G190" s="1181"/>
      <c r="H190" s="736"/>
      <c r="I190" s="284">
        <f>I191</f>
        <v>0</v>
      </c>
      <c r="J190" s="274"/>
      <c r="K190" s="160"/>
      <c r="L190" s="160"/>
      <c r="M190" s="298"/>
    </row>
    <row r="191" spans="1:13" ht="12.75">
      <c r="A191" s="1180"/>
      <c r="B191" s="2" t="s">
        <v>955</v>
      </c>
      <c r="C191" s="722" t="s">
        <v>988</v>
      </c>
      <c r="D191" s="677" t="s">
        <v>631</v>
      </c>
      <c r="E191" s="153" t="s">
        <v>407</v>
      </c>
      <c r="F191" s="153" t="s">
        <v>1044</v>
      </c>
      <c r="G191" s="678" t="s">
        <v>440</v>
      </c>
      <c r="H191" s="749"/>
      <c r="I191" s="284">
        <f>'Бюд.р.'!H403</f>
        <v>0</v>
      </c>
      <c r="J191" s="274"/>
      <c r="K191" s="160"/>
      <c r="L191" s="160"/>
      <c r="M191" s="298"/>
    </row>
    <row r="192" spans="1:13" ht="22.5">
      <c r="A192" s="183"/>
      <c r="B192" s="313" t="s">
        <v>1046</v>
      </c>
      <c r="C192" s="388" t="s">
        <v>1028</v>
      </c>
      <c r="D192" s="361">
        <v>968</v>
      </c>
      <c r="E192" s="361">
        <v>503</v>
      </c>
      <c r="F192" s="361" t="str">
        <f>F193</f>
        <v>600 03 05</v>
      </c>
      <c r="G192" s="361"/>
      <c r="H192" s="761"/>
      <c r="I192" s="727">
        <f>I193</f>
        <v>150</v>
      </c>
      <c r="J192" s="275"/>
      <c r="K192" s="205"/>
      <c r="L192" s="205"/>
      <c r="M192" s="265"/>
    </row>
    <row r="193" spans="1:13" ht="12.75">
      <c r="A193" s="183"/>
      <c r="B193" s="2" t="s">
        <v>1047</v>
      </c>
      <c r="C193" s="722" t="s">
        <v>988</v>
      </c>
      <c r="D193" s="720">
        <v>968</v>
      </c>
      <c r="E193" s="720">
        <v>503</v>
      </c>
      <c r="F193" s="720" t="s">
        <v>1027</v>
      </c>
      <c r="G193" s="720">
        <v>240</v>
      </c>
      <c r="H193" s="788"/>
      <c r="I193" s="721">
        <f>'Бюд.р.'!H407</f>
        <v>150</v>
      </c>
      <c r="J193" s="275"/>
      <c r="K193" s="205"/>
      <c r="L193" s="205"/>
      <c r="M193" s="265"/>
    </row>
    <row r="194" spans="1:13" ht="12" customHeight="1">
      <c r="A194" s="183"/>
      <c r="B194" s="22" t="s">
        <v>956</v>
      </c>
      <c r="C194" s="971" t="s">
        <v>1029</v>
      </c>
      <c r="D194" s="700" t="s">
        <v>631</v>
      </c>
      <c r="E194" s="261" t="s">
        <v>407</v>
      </c>
      <c r="F194" s="261" t="s">
        <v>714</v>
      </c>
      <c r="G194" s="704"/>
      <c r="H194" s="762"/>
      <c r="I194" s="268">
        <f>I199+I197+I195</f>
        <v>5687.674999999999</v>
      </c>
      <c r="J194" s="124">
        <f>J199+J201</f>
        <v>0</v>
      </c>
      <c r="K194" s="122">
        <f>K199+K201</f>
        <v>0</v>
      </c>
      <c r="L194" s="122">
        <f>L199+L201</f>
        <v>0</v>
      </c>
      <c r="M194" s="266">
        <f>M199+M201</f>
        <v>500</v>
      </c>
    </row>
    <row r="195" spans="1:13" ht="21.75" customHeight="1">
      <c r="A195" s="183"/>
      <c r="B195" s="314" t="s">
        <v>957</v>
      </c>
      <c r="C195" s="388" t="s">
        <v>1030</v>
      </c>
      <c r="D195" s="675" t="s">
        <v>631</v>
      </c>
      <c r="E195" s="10" t="s">
        <v>407</v>
      </c>
      <c r="F195" s="10" t="s">
        <v>715</v>
      </c>
      <c r="G195" s="705"/>
      <c r="H195" s="759"/>
      <c r="I195" s="285">
        <f>I196</f>
        <v>4248.240999999999</v>
      </c>
      <c r="J195" s="273">
        <f>J196</f>
        <v>0</v>
      </c>
      <c r="K195" s="157">
        <f>K196</f>
        <v>0</v>
      </c>
      <c r="L195" s="157">
        <f>L196</f>
        <v>0</v>
      </c>
      <c r="M195" s="297">
        <f>M196</f>
        <v>0</v>
      </c>
    </row>
    <row r="196" spans="1:13" ht="13.5" customHeight="1">
      <c r="A196" s="183"/>
      <c r="B196" s="2" t="s">
        <v>958</v>
      </c>
      <c r="C196" s="722" t="s">
        <v>988</v>
      </c>
      <c r="D196" s="677" t="s">
        <v>631</v>
      </c>
      <c r="E196" s="153" t="s">
        <v>407</v>
      </c>
      <c r="F196" s="153" t="s">
        <v>715</v>
      </c>
      <c r="G196" s="678" t="s">
        <v>440</v>
      </c>
      <c r="H196" s="761"/>
      <c r="I196" s="284">
        <f>'Бюд.р.'!H413</f>
        <v>4248.240999999999</v>
      </c>
      <c r="J196" s="274">
        <v>0</v>
      </c>
      <c r="K196" s="160">
        <v>0</v>
      </c>
      <c r="L196" s="160">
        <v>0</v>
      </c>
      <c r="M196" s="298">
        <v>0</v>
      </c>
    </row>
    <row r="197" spans="1:13" ht="21.75" customHeight="1">
      <c r="A197" s="183"/>
      <c r="B197" s="314" t="s">
        <v>959</v>
      </c>
      <c r="C197" s="1179" t="s">
        <v>1031</v>
      </c>
      <c r="D197" s="675" t="s">
        <v>631</v>
      </c>
      <c r="E197" s="10" t="s">
        <v>407</v>
      </c>
      <c r="F197" s="10" t="s">
        <v>730</v>
      </c>
      <c r="G197" s="705"/>
      <c r="H197" s="761"/>
      <c r="I197" s="719">
        <f>I198</f>
        <v>1439.434</v>
      </c>
      <c r="J197" s="274"/>
      <c r="K197" s="160"/>
      <c r="L197" s="160"/>
      <c r="M197" s="298"/>
    </row>
    <row r="198" spans="1:13" ht="13.5" customHeight="1">
      <c r="A198" s="183"/>
      <c r="B198" s="2" t="s">
        <v>960</v>
      </c>
      <c r="C198" s="722" t="s">
        <v>988</v>
      </c>
      <c r="D198" s="677" t="s">
        <v>631</v>
      </c>
      <c r="E198" s="153" t="s">
        <v>407</v>
      </c>
      <c r="F198" s="153" t="s">
        <v>730</v>
      </c>
      <c r="G198" s="678" t="s">
        <v>440</v>
      </c>
      <c r="H198" s="761"/>
      <c r="I198" s="284">
        <f>'Бюд.р.'!H421</f>
        <v>1439.434</v>
      </c>
      <c r="J198" s="274"/>
      <c r="K198" s="160"/>
      <c r="L198" s="160"/>
      <c r="M198" s="298"/>
    </row>
    <row r="199" spans="1:13" ht="33" customHeight="1">
      <c r="A199" s="183"/>
      <c r="B199" s="314" t="s">
        <v>1038</v>
      </c>
      <c r="C199" s="810" t="s">
        <v>142</v>
      </c>
      <c r="D199" s="675" t="s">
        <v>631</v>
      </c>
      <c r="E199" s="10" t="s">
        <v>407</v>
      </c>
      <c r="F199" s="10" t="s">
        <v>895</v>
      </c>
      <c r="G199" s="705"/>
      <c r="H199" s="759"/>
      <c r="I199" s="285">
        <f>I200</f>
        <v>0</v>
      </c>
      <c r="J199" s="273">
        <f>J200</f>
        <v>0</v>
      </c>
      <c r="K199" s="157">
        <f>K200</f>
        <v>0</v>
      </c>
      <c r="L199" s="157">
        <f>L200</f>
        <v>0</v>
      </c>
      <c r="M199" s="297">
        <f>M200</f>
        <v>500</v>
      </c>
    </row>
    <row r="200" spans="1:13" ht="12" customHeight="1" thickBot="1">
      <c r="A200" s="183"/>
      <c r="B200" s="2" t="s">
        <v>1039</v>
      </c>
      <c r="C200" s="722" t="s">
        <v>988</v>
      </c>
      <c r="D200" s="677" t="s">
        <v>631</v>
      </c>
      <c r="E200" s="153" t="s">
        <v>407</v>
      </c>
      <c r="F200" s="153" t="s">
        <v>895</v>
      </c>
      <c r="G200" s="678" t="s">
        <v>440</v>
      </c>
      <c r="H200" s="761"/>
      <c r="I200" s="284">
        <f>'Бюд.р.'!H426</f>
        <v>0</v>
      </c>
      <c r="J200" s="274">
        <v>0</v>
      </c>
      <c r="K200" s="160">
        <v>0</v>
      </c>
      <c r="L200" s="160">
        <v>0</v>
      </c>
      <c r="M200" s="298">
        <v>500</v>
      </c>
    </row>
    <row r="201" spans="1:13" ht="22.5" hidden="1">
      <c r="A201" s="183"/>
      <c r="B201" s="2" t="s">
        <v>81</v>
      </c>
      <c r="C201" s="793" t="s">
        <v>731</v>
      </c>
      <c r="D201" s="675" t="s">
        <v>631</v>
      </c>
      <c r="E201" s="10" t="s">
        <v>407</v>
      </c>
      <c r="F201" s="10" t="s">
        <v>732</v>
      </c>
      <c r="G201" s="705"/>
      <c r="H201" s="759"/>
      <c r="I201" s="285">
        <f>I202</f>
        <v>0</v>
      </c>
      <c r="J201" s="273">
        <f>J202</f>
        <v>0</v>
      </c>
      <c r="K201" s="157">
        <f>K202</f>
        <v>0</v>
      </c>
      <c r="L201" s="157">
        <f>L202</f>
        <v>0</v>
      </c>
      <c r="M201" s="297">
        <f>M202</f>
        <v>0</v>
      </c>
    </row>
    <row r="202" spans="1:13" ht="14.25" customHeight="1" hidden="1">
      <c r="A202" s="183"/>
      <c r="B202" s="937" t="s">
        <v>155</v>
      </c>
      <c r="C202" s="1031" t="s">
        <v>426</v>
      </c>
      <c r="D202" s="713" t="s">
        <v>631</v>
      </c>
      <c r="E202" s="951" t="s">
        <v>407</v>
      </c>
      <c r="F202" s="951" t="s">
        <v>732</v>
      </c>
      <c r="G202" s="952" t="s">
        <v>800</v>
      </c>
      <c r="H202" s="1038"/>
      <c r="I202" s="439">
        <f>'Бюд.р.'!H430</f>
        <v>0</v>
      </c>
      <c r="J202" s="274">
        <v>0</v>
      </c>
      <c r="K202" s="160">
        <v>0</v>
      </c>
      <c r="L202" s="160">
        <v>0</v>
      </c>
      <c r="M202" s="298">
        <v>0</v>
      </c>
    </row>
    <row r="203" spans="1:13" ht="15.75" thickBot="1">
      <c r="A203" s="183"/>
      <c r="B203" s="1020" t="s">
        <v>677</v>
      </c>
      <c r="C203" s="1014" t="s">
        <v>733</v>
      </c>
      <c r="D203" s="1015" t="s">
        <v>631</v>
      </c>
      <c r="E203" s="1016" t="s">
        <v>734</v>
      </c>
      <c r="F203" s="1041"/>
      <c r="G203" s="1044"/>
      <c r="H203" s="1037"/>
      <c r="I203" s="1019">
        <f aca="true" t="shared" si="1" ref="I203:M205">I204</f>
        <v>0</v>
      </c>
      <c r="J203" s="279">
        <f t="shared" si="1"/>
        <v>0</v>
      </c>
      <c r="K203" s="264">
        <f t="shared" si="1"/>
        <v>8</v>
      </c>
      <c r="L203" s="264">
        <f t="shared" si="1"/>
        <v>0</v>
      </c>
      <c r="M203" s="302">
        <f t="shared" si="1"/>
        <v>0</v>
      </c>
    </row>
    <row r="204" spans="1:13" ht="28.5" customHeight="1">
      <c r="A204" s="183"/>
      <c r="B204" s="1032" t="s">
        <v>391</v>
      </c>
      <c r="C204" s="976" t="s">
        <v>736</v>
      </c>
      <c r="D204" s="981" t="s">
        <v>631</v>
      </c>
      <c r="E204" s="982" t="s">
        <v>735</v>
      </c>
      <c r="F204" s="990"/>
      <c r="G204" s="988"/>
      <c r="H204" s="1035"/>
      <c r="I204" s="985">
        <f t="shared" si="1"/>
        <v>0</v>
      </c>
      <c r="J204" s="272">
        <f t="shared" si="1"/>
        <v>0</v>
      </c>
      <c r="K204" s="123">
        <f t="shared" si="1"/>
        <v>8</v>
      </c>
      <c r="L204" s="123">
        <f t="shared" si="1"/>
        <v>0</v>
      </c>
      <c r="M204" s="296">
        <f t="shared" si="1"/>
        <v>0</v>
      </c>
    </row>
    <row r="205" spans="1:13" ht="22.5">
      <c r="A205" s="183"/>
      <c r="B205" s="314" t="s">
        <v>7</v>
      </c>
      <c r="C205" s="812" t="s">
        <v>737</v>
      </c>
      <c r="D205" s="675" t="s">
        <v>631</v>
      </c>
      <c r="E205" s="10" t="s">
        <v>735</v>
      </c>
      <c r="F205" s="10" t="s">
        <v>738</v>
      </c>
      <c r="G205" s="706"/>
      <c r="H205" s="759"/>
      <c r="I205" s="285">
        <f t="shared" si="1"/>
        <v>0</v>
      </c>
      <c r="J205" s="273">
        <f t="shared" si="1"/>
        <v>0</v>
      </c>
      <c r="K205" s="157">
        <f t="shared" si="1"/>
        <v>8</v>
      </c>
      <c r="L205" s="157">
        <f t="shared" si="1"/>
        <v>0</v>
      </c>
      <c r="M205" s="297">
        <f t="shared" si="1"/>
        <v>0</v>
      </c>
    </row>
    <row r="206" spans="1:13" ht="13.5" thickBot="1">
      <c r="A206" s="183"/>
      <c r="B206" s="937" t="s">
        <v>8</v>
      </c>
      <c r="C206" s="722" t="s">
        <v>988</v>
      </c>
      <c r="D206" s="713" t="s">
        <v>631</v>
      </c>
      <c r="E206" s="951" t="s">
        <v>735</v>
      </c>
      <c r="F206" s="951" t="s">
        <v>738</v>
      </c>
      <c r="G206" s="952" t="s">
        <v>440</v>
      </c>
      <c r="H206" s="1038"/>
      <c r="I206" s="439">
        <f>'Бюд.р.'!H436</f>
        <v>0</v>
      </c>
      <c r="J206" s="274">
        <v>0</v>
      </c>
      <c r="K206" s="160">
        <v>8</v>
      </c>
      <c r="L206" s="160">
        <v>0</v>
      </c>
      <c r="M206" s="298">
        <v>0</v>
      </c>
    </row>
    <row r="207" spans="1:13" ht="15.75" thickBot="1">
      <c r="A207" s="183"/>
      <c r="B207" s="1020" t="s">
        <v>678</v>
      </c>
      <c r="C207" s="1014" t="s">
        <v>271</v>
      </c>
      <c r="D207" s="1015" t="s">
        <v>631</v>
      </c>
      <c r="E207" s="1016" t="s">
        <v>379</v>
      </c>
      <c r="F207" s="1041"/>
      <c r="G207" s="1042"/>
      <c r="H207" s="1043"/>
      <c r="I207" s="1019">
        <f>I214+I221</f>
        <v>3493.95</v>
      </c>
      <c r="J207" s="279">
        <f>J214</f>
        <v>585</v>
      </c>
      <c r="K207" s="264">
        <f>K214</f>
        <v>667</v>
      </c>
      <c r="L207" s="264">
        <f>L214</f>
        <v>485</v>
      </c>
      <c r="M207" s="302">
        <f>M214</f>
        <v>1170</v>
      </c>
    </row>
    <row r="208" spans="1:13" ht="60">
      <c r="A208" s="183"/>
      <c r="B208" s="954" t="s">
        <v>1</v>
      </c>
      <c r="C208" s="966" t="s">
        <v>1053</v>
      </c>
      <c r="D208" s="941" t="s">
        <v>631</v>
      </c>
      <c r="E208" s="950" t="s">
        <v>1054</v>
      </c>
      <c r="F208" s="947"/>
      <c r="G208" s="955"/>
      <c r="H208" s="956"/>
      <c r="I208" s="942">
        <f>I209</f>
        <v>255</v>
      </c>
      <c r="J208" s="279"/>
      <c r="K208" s="264"/>
      <c r="L208" s="264"/>
      <c r="M208" s="302"/>
    </row>
    <row r="209" spans="1:13" ht="56.25">
      <c r="A209" s="183"/>
      <c r="B209" s="313" t="s">
        <v>2</v>
      </c>
      <c r="C209" s="962" t="s">
        <v>1061</v>
      </c>
      <c r="D209" s="675" t="s">
        <v>631</v>
      </c>
      <c r="E209" s="10" t="s">
        <v>1054</v>
      </c>
      <c r="F209" s="10" t="s">
        <v>1060</v>
      </c>
      <c r="G209" s="676"/>
      <c r="H209" s="735"/>
      <c r="I209" s="285">
        <f>I210+I212</f>
        <v>255</v>
      </c>
      <c r="J209" s="279"/>
      <c r="K209" s="264"/>
      <c r="L209" s="264"/>
      <c r="M209" s="302"/>
    </row>
    <row r="210" spans="1:13" ht="45">
      <c r="A210" s="183"/>
      <c r="B210" s="42" t="s">
        <v>3</v>
      </c>
      <c r="C210" s="962" t="s">
        <v>1064</v>
      </c>
      <c r="D210" s="687" t="s">
        <v>631</v>
      </c>
      <c r="E210" s="155" t="s">
        <v>1054</v>
      </c>
      <c r="F210" s="155" t="s">
        <v>1062</v>
      </c>
      <c r="G210" s="686"/>
      <c r="H210" s="747"/>
      <c r="I210" s="663">
        <f>I211</f>
        <v>17</v>
      </c>
      <c r="J210" s="279"/>
      <c r="K210" s="264"/>
      <c r="L210" s="264"/>
      <c r="M210" s="302"/>
    </row>
    <row r="211" spans="1:13" ht="15">
      <c r="A211" s="183"/>
      <c r="B211" s="2" t="s">
        <v>1055</v>
      </c>
      <c r="C211" s="722" t="s">
        <v>988</v>
      </c>
      <c r="D211" s="677" t="s">
        <v>631</v>
      </c>
      <c r="E211" s="153" t="s">
        <v>380</v>
      </c>
      <c r="F211" s="153" t="s">
        <v>1062</v>
      </c>
      <c r="G211" s="678" t="s">
        <v>1069</v>
      </c>
      <c r="H211" s="736"/>
      <c r="I211" s="284">
        <f>'Бюд.р.'!H445</f>
        <v>17</v>
      </c>
      <c r="J211" s="279"/>
      <c r="K211" s="264"/>
      <c r="L211" s="264"/>
      <c r="M211" s="302"/>
    </row>
    <row r="212" spans="1:13" ht="22.5">
      <c r="A212" s="183"/>
      <c r="B212" s="42" t="s">
        <v>1067</v>
      </c>
      <c r="C212" s="388" t="s">
        <v>1065</v>
      </c>
      <c r="D212" s="687" t="s">
        <v>631</v>
      </c>
      <c r="E212" s="155" t="s">
        <v>1054</v>
      </c>
      <c r="F212" s="155" t="s">
        <v>1066</v>
      </c>
      <c r="G212" s="686"/>
      <c r="H212" s="747"/>
      <c r="I212" s="663">
        <f>I213</f>
        <v>238</v>
      </c>
      <c r="J212" s="279"/>
      <c r="K212" s="264"/>
      <c r="L212" s="264"/>
      <c r="M212" s="302"/>
    </row>
    <row r="213" spans="1:13" ht="15">
      <c r="A213" s="183"/>
      <c r="B213" s="2" t="s">
        <v>1068</v>
      </c>
      <c r="C213" s="722" t="s">
        <v>988</v>
      </c>
      <c r="D213" s="677" t="s">
        <v>631</v>
      </c>
      <c r="E213" s="153" t="s">
        <v>380</v>
      </c>
      <c r="F213" s="153" t="s">
        <v>1066</v>
      </c>
      <c r="G213" s="678" t="s">
        <v>1069</v>
      </c>
      <c r="H213" s="736"/>
      <c r="I213" s="284">
        <f>'Бюд.р.'!H450</f>
        <v>238</v>
      </c>
      <c r="J213" s="279"/>
      <c r="K213" s="264"/>
      <c r="L213" s="264"/>
      <c r="M213" s="302"/>
    </row>
    <row r="214" spans="1:13" ht="30">
      <c r="A214" s="183"/>
      <c r="B214" s="1032" t="s">
        <v>103</v>
      </c>
      <c r="C214" s="976" t="s">
        <v>378</v>
      </c>
      <c r="D214" s="981" t="s">
        <v>631</v>
      </c>
      <c r="E214" s="982" t="s">
        <v>380</v>
      </c>
      <c r="F214" s="990"/>
      <c r="G214" s="1039"/>
      <c r="H214" s="1040"/>
      <c r="I214" s="985">
        <f>I215+I219</f>
        <v>3357.45</v>
      </c>
      <c r="J214" s="272">
        <f>J215+J219</f>
        <v>585</v>
      </c>
      <c r="K214" s="123">
        <f>K215+K219</f>
        <v>667</v>
      </c>
      <c r="L214" s="123">
        <f>L215+L219</f>
        <v>485</v>
      </c>
      <c r="M214" s="296">
        <f>M215+M219</f>
        <v>1170</v>
      </c>
    </row>
    <row r="215" spans="1:13" ht="35.25" customHeight="1">
      <c r="A215" s="184" t="s">
        <v>280</v>
      </c>
      <c r="B215" s="313" t="s">
        <v>104</v>
      </c>
      <c r="C215" s="793" t="s">
        <v>381</v>
      </c>
      <c r="D215" s="675" t="s">
        <v>631</v>
      </c>
      <c r="E215" s="10" t="s">
        <v>380</v>
      </c>
      <c r="F215" s="10" t="s">
        <v>256</v>
      </c>
      <c r="G215" s="676"/>
      <c r="H215" s="318"/>
      <c r="I215" s="285">
        <f>I216</f>
        <v>1545.45</v>
      </c>
      <c r="J215" s="273">
        <f>J216</f>
        <v>90</v>
      </c>
      <c r="K215" s="157">
        <f>K216</f>
        <v>479</v>
      </c>
      <c r="L215" s="157">
        <f>L216</f>
        <v>485</v>
      </c>
      <c r="M215" s="297">
        <f>M216</f>
        <v>310</v>
      </c>
    </row>
    <row r="216" spans="1:13" ht="12.75">
      <c r="A216" s="50" t="s">
        <v>198</v>
      </c>
      <c r="B216" s="2" t="s">
        <v>105</v>
      </c>
      <c r="C216" s="722" t="s">
        <v>988</v>
      </c>
      <c r="D216" s="677" t="s">
        <v>631</v>
      </c>
      <c r="E216" s="153" t="s">
        <v>380</v>
      </c>
      <c r="F216" s="153" t="s">
        <v>256</v>
      </c>
      <c r="G216" s="678" t="s">
        <v>440</v>
      </c>
      <c r="H216" s="319"/>
      <c r="I216" s="284">
        <f>'Бюд.р.'!H467</f>
        <v>1545.45</v>
      </c>
      <c r="J216" s="274">
        <v>90</v>
      </c>
      <c r="K216" s="160">
        <v>479</v>
      </c>
      <c r="L216" s="160">
        <v>485</v>
      </c>
      <c r="M216" s="298">
        <v>310</v>
      </c>
    </row>
    <row r="217" spans="1:13" ht="12.75" hidden="1">
      <c r="A217" s="181" t="s">
        <v>199</v>
      </c>
      <c r="B217" s="313"/>
      <c r="C217" s="793" t="s">
        <v>275</v>
      </c>
      <c r="D217" s="691"/>
      <c r="E217" s="30" t="s">
        <v>285</v>
      </c>
      <c r="F217" s="30" t="s">
        <v>197</v>
      </c>
      <c r="G217" s="679" t="s">
        <v>274</v>
      </c>
      <c r="H217" s="323" t="s">
        <v>276</v>
      </c>
      <c r="I217" s="256"/>
      <c r="J217" s="275"/>
      <c r="K217" s="205"/>
      <c r="L217" s="205"/>
      <c r="M217" s="265"/>
    </row>
    <row r="218" spans="1:13" ht="12.75" hidden="1">
      <c r="A218" s="185" t="s">
        <v>701</v>
      </c>
      <c r="B218" s="56"/>
      <c r="C218" s="813" t="s">
        <v>259</v>
      </c>
      <c r="D218" s="682"/>
      <c r="E218" s="3" t="s">
        <v>285</v>
      </c>
      <c r="F218" s="3" t="s">
        <v>197</v>
      </c>
      <c r="G218" s="707" t="s">
        <v>274</v>
      </c>
      <c r="H218" s="763" t="s">
        <v>299</v>
      </c>
      <c r="I218" s="256"/>
      <c r="J218" s="275"/>
      <c r="K218" s="205"/>
      <c r="L218" s="205"/>
      <c r="M218" s="265"/>
    </row>
    <row r="219" spans="1:13" ht="35.25" customHeight="1">
      <c r="A219" s="184" t="s">
        <v>268</v>
      </c>
      <c r="B219" s="313" t="s">
        <v>961</v>
      </c>
      <c r="C219" s="793" t="s">
        <v>382</v>
      </c>
      <c r="D219" s="675" t="s">
        <v>631</v>
      </c>
      <c r="E219" s="10" t="s">
        <v>380</v>
      </c>
      <c r="F219" s="10" t="s">
        <v>257</v>
      </c>
      <c r="G219" s="676"/>
      <c r="H219" s="318"/>
      <c r="I219" s="285">
        <f>I220</f>
        <v>1812</v>
      </c>
      <c r="J219" s="273">
        <f>J220</f>
        <v>495</v>
      </c>
      <c r="K219" s="157">
        <f>K220</f>
        <v>188</v>
      </c>
      <c r="L219" s="157">
        <f>L220</f>
        <v>0</v>
      </c>
      <c r="M219" s="297">
        <f>M220</f>
        <v>860</v>
      </c>
    </row>
    <row r="220" spans="1:13" ht="13.5" thickBot="1">
      <c r="A220" s="50" t="s">
        <v>728</v>
      </c>
      <c r="B220" s="2" t="s">
        <v>962</v>
      </c>
      <c r="C220" s="722" t="s">
        <v>988</v>
      </c>
      <c r="D220" s="677" t="s">
        <v>631</v>
      </c>
      <c r="E220" s="153" t="s">
        <v>380</v>
      </c>
      <c r="F220" s="153" t="s">
        <v>257</v>
      </c>
      <c r="G220" s="678" t="s">
        <v>440</v>
      </c>
      <c r="H220" s="319"/>
      <c r="I220" s="439">
        <f>'Бюд.р.'!H475</f>
        <v>1812</v>
      </c>
      <c r="J220" s="274">
        <v>495</v>
      </c>
      <c r="K220" s="160">
        <v>188</v>
      </c>
      <c r="L220" s="160">
        <v>0</v>
      </c>
      <c r="M220" s="298">
        <v>860</v>
      </c>
    </row>
    <row r="221" spans="1:13" ht="15">
      <c r="A221" s="181" t="s">
        <v>729</v>
      </c>
      <c r="B221" s="986" t="s">
        <v>1</v>
      </c>
      <c r="C221" s="991" t="s">
        <v>10</v>
      </c>
      <c r="D221" s="992">
        <v>968</v>
      </c>
      <c r="E221" s="992">
        <v>709</v>
      </c>
      <c r="F221" s="992"/>
      <c r="G221" s="992"/>
      <c r="H221" s="1152" t="s">
        <v>276</v>
      </c>
      <c r="I221" s="1154">
        <f>I222+I224</f>
        <v>136.5</v>
      </c>
      <c r="J221" s="275"/>
      <c r="K221" s="205"/>
      <c r="L221" s="205"/>
      <c r="M221" s="265"/>
    </row>
    <row r="222" spans="1:13" ht="33.75">
      <c r="A222" s="185" t="s">
        <v>701</v>
      </c>
      <c r="B222" s="313" t="s">
        <v>2</v>
      </c>
      <c r="C222" s="965" t="s">
        <v>1014</v>
      </c>
      <c r="D222" s="724">
        <v>968</v>
      </c>
      <c r="E222" s="724">
        <v>709</v>
      </c>
      <c r="F222" s="724" t="str">
        <f>F223</f>
        <v>795 01 00</v>
      </c>
      <c r="G222" s="724"/>
      <c r="H222" s="1153" t="s">
        <v>299</v>
      </c>
      <c r="I222" s="719">
        <f>I223</f>
        <v>30</v>
      </c>
      <c r="J222" s="275"/>
      <c r="K222" s="205"/>
      <c r="L222" s="205"/>
      <c r="M222" s="265"/>
    </row>
    <row r="223" spans="1:13" ht="12.75">
      <c r="A223" s="184" t="s">
        <v>679</v>
      </c>
      <c r="B223" s="937" t="s">
        <v>3</v>
      </c>
      <c r="C223" s="722" t="s">
        <v>988</v>
      </c>
      <c r="D223" s="870">
        <v>968</v>
      </c>
      <c r="E223" s="870">
        <v>709</v>
      </c>
      <c r="F223" s="870" t="s">
        <v>420</v>
      </c>
      <c r="G223" s="870">
        <v>240</v>
      </c>
      <c r="H223" s="953"/>
      <c r="I223" s="721">
        <f>'Бюд.р.'!H492</f>
        <v>30</v>
      </c>
      <c r="J223" s="275"/>
      <c r="K223" s="205"/>
      <c r="L223" s="205"/>
      <c r="M223" s="265"/>
    </row>
    <row r="224" spans="1:13" ht="27.75" customHeight="1">
      <c r="A224" s="1149"/>
      <c r="B224" s="313" t="s">
        <v>972</v>
      </c>
      <c r="C224" s="388" t="s">
        <v>1016</v>
      </c>
      <c r="D224" s="675" t="s">
        <v>631</v>
      </c>
      <c r="E224" s="10" t="s">
        <v>14</v>
      </c>
      <c r="F224" s="10" t="s">
        <v>151</v>
      </c>
      <c r="G224" s="676"/>
      <c r="H224" s="1150"/>
      <c r="I224" s="719">
        <f>I225</f>
        <v>106.5</v>
      </c>
      <c r="J224" s="275"/>
      <c r="K224" s="205"/>
      <c r="L224" s="205"/>
      <c r="M224" s="265"/>
    </row>
    <row r="225" spans="1:13" ht="13.5" thickBot="1">
      <c r="A225" s="1149"/>
      <c r="B225" s="937" t="s">
        <v>973</v>
      </c>
      <c r="C225" s="722" t="s">
        <v>988</v>
      </c>
      <c r="D225" s="713" t="s">
        <v>631</v>
      </c>
      <c r="E225" s="951" t="s">
        <v>14</v>
      </c>
      <c r="F225" s="951" t="s">
        <v>151</v>
      </c>
      <c r="G225" s="952" t="s">
        <v>440</v>
      </c>
      <c r="H225" s="1150"/>
      <c r="I225" s="1060">
        <f>'Бюд.р.'!H501</f>
        <v>106.5</v>
      </c>
      <c r="J225" s="275"/>
      <c r="K225" s="205"/>
      <c r="L225" s="205"/>
      <c r="M225" s="265"/>
    </row>
    <row r="226" spans="1:13" ht="20.25" customHeight="1" thickBot="1">
      <c r="A226" s="186"/>
      <c r="B226" s="1020" t="s">
        <v>465</v>
      </c>
      <c r="C226" s="1014" t="s">
        <v>910</v>
      </c>
      <c r="D226" s="1015" t="s">
        <v>631</v>
      </c>
      <c r="E226" s="1016" t="s">
        <v>383</v>
      </c>
      <c r="F226" s="1022"/>
      <c r="G226" s="1036"/>
      <c r="H226" s="1037"/>
      <c r="I226" s="1151" t="e">
        <f>I227</f>
        <v>#REF!</v>
      </c>
      <c r="J226" s="279" t="e">
        <f>J227+#REF!</f>
        <v>#REF!</v>
      </c>
      <c r="K226" s="264" t="e">
        <f>K227+#REF!</f>
        <v>#REF!</v>
      </c>
      <c r="L226" s="264" t="e">
        <f>L227+#REF!</f>
        <v>#REF!</v>
      </c>
      <c r="M226" s="302" t="e">
        <f>M227+#REF!</f>
        <v>#REF!</v>
      </c>
    </row>
    <row r="227" spans="1:13" ht="15">
      <c r="A227" s="186"/>
      <c r="B227" s="1032" t="s">
        <v>518</v>
      </c>
      <c r="C227" s="976" t="s">
        <v>691</v>
      </c>
      <c r="D227" s="981" t="s">
        <v>631</v>
      </c>
      <c r="E227" s="982" t="s">
        <v>384</v>
      </c>
      <c r="F227" s="1033"/>
      <c r="G227" s="1034"/>
      <c r="H227" s="1035"/>
      <c r="I227" s="985" t="e">
        <f>I228+I230</f>
        <v>#REF!</v>
      </c>
      <c r="J227" s="272">
        <f aca="true" t="shared" si="2" ref="I227:M228">J228</f>
        <v>849</v>
      </c>
      <c r="K227" s="123">
        <f t="shared" si="2"/>
        <v>707</v>
      </c>
      <c r="L227" s="123">
        <f t="shared" si="2"/>
        <v>197</v>
      </c>
      <c r="M227" s="296">
        <f t="shared" si="2"/>
        <v>253</v>
      </c>
    </row>
    <row r="228" spans="1:13" ht="34.5" customHeight="1">
      <c r="A228" s="186"/>
      <c r="B228" s="313" t="s">
        <v>521</v>
      </c>
      <c r="C228" s="969" t="s">
        <v>1043</v>
      </c>
      <c r="D228" s="675" t="s">
        <v>631</v>
      </c>
      <c r="E228" s="53" t="s">
        <v>384</v>
      </c>
      <c r="F228" s="53" t="s">
        <v>1040</v>
      </c>
      <c r="G228" s="703"/>
      <c r="H228" s="761"/>
      <c r="I228" s="285">
        <f t="shared" si="2"/>
        <v>10822.586</v>
      </c>
      <c r="J228" s="273">
        <f t="shared" si="2"/>
        <v>849</v>
      </c>
      <c r="K228" s="157">
        <f t="shared" si="2"/>
        <v>707</v>
      </c>
      <c r="L228" s="157">
        <f t="shared" si="2"/>
        <v>197</v>
      </c>
      <c r="M228" s="297">
        <f t="shared" si="2"/>
        <v>253</v>
      </c>
    </row>
    <row r="229" spans="1:13" ht="13.5" customHeight="1">
      <c r="A229" s="186"/>
      <c r="B229" s="2" t="s">
        <v>522</v>
      </c>
      <c r="C229" s="722" t="s">
        <v>988</v>
      </c>
      <c r="D229" s="677" t="s">
        <v>631</v>
      </c>
      <c r="E229" s="153" t="s">
        <v>384</v>
      </c>
      <c r="F229" s="153" t="s">
        <v>1040</v>
      </c>
      <c r="G229" s="678" t="s">
        <v>440</v>
      </c>
      <c r="H229" s="761"/>
      <c r="I229" s="284">
        <f>'Бюд.р.'!H509</f>
        <v>10822.586</v>
      </c>
      <c r="J229" s="274">
        <v>849</v>
      </c>
      <c r="K229" s="160">
        <v>707</v>
      </c>
      <c r="L229" s="160">
        <v>197</v>
      </c>
      <c r="M229" s="298">
        <v>253</v>
      </c>
    </row>
    <row r="230" spans="1:13" ht="24" customHeight="1">
      <c r="A230" s="186"/>
      <c r="B230" s="313" t="s">
        <v>907</v>
      </c>
      <c r="C230" s="808" t="s">
        <v>900</v>
      </c>
      <c r="D230" s="130">
        <v>968</v>
      </c>
      <c r="E230" s="130">
        <v>801</v>
      </c>
      <c r="F230" s="130" t="str">
        <f>F231</f>
        <v>440 01 02</v>
      </c>
      <c r="G230" s="130"/>
      <c r="H230" s="746"/>
      <c r="I230" s="719" t="e">
        <f>I231</f>
        <v>#REF!</v>
      </c>
      <c r="J230" s="274"/>
      <c r="K230" s="160"/>
      <c r="L230" s="160"/>
      <c r="M230" s="298"/>
    </row>
    <row r="231" spans="1:13" ht="13.5" customHeight="1" thickBot="1">
      <c r="A231" s="186"/>
      <c r="B231" s="937" t="s">
        <v>908</v>
      </c>
      <c r="C231" s="722" t="s">
        <v>988</v>
      </c>
      <c r="D231" s="870">
        <v>968</v>
      </c>
      <c r="E231" s="870">
        <v>801</v>
      </c>
      <c r="F231" s="870" t="s">
        <v>1042</v>
      </c>
      <c r="G231" s="870">
        <v>240</v>
      </c>
      <c r="H231" s="957"/>
      <c r="I231" s="815" t="e">
        <f>'Бюд.р.'!#REF!</f>
        <v>#REF!</v>
      </c>
      <c r="J231" s="274"/>
      <c r="K231" s="160"/>
      <c r="L231" s="160"/>
      <c r="M231" s="298"/>
    </row>
    <row r="232" spans="1:13" ht="12.75" hidden="1">
      <c r="A232" s="48" t="s">
        <v>783</v>
      </c>
      <c r="B232" s="42"/>
      <c r="C232" s="810" t="s">
        <v>275</v>
      </c>
      <c r="D232" s="691"/>
      <c r="E232" s="34" t="s">
        <v>466</v>
      </c>
      <c r="F232" s="31" t="s">
        <v>467</v>
      </c>
      <c r="G232" s="710">
        <v>455</v>
      </c>
      <c r="H232" s="764" t="s">
        <v>276</v>
      </c>
      <c r="I232" s="256"/>
      <c r="J232" s="275"/>
      <c r="K232" s="205"/>
      <c r="L232" s="205"/>
      <c r="M232" s="265"/>
    </row>
    <row r="233" spans="1:13" ht="12.75" hidden="1">
      <c r="A233" s="49" t="s">
        <v>701</v>
      </c>
      <c r="B233" s="56"/>
      <c r="C233" s="813" t="s">
        <v>259</v>
      </c>
      <c r="D233" s="682"/>
      <c r="E233" s="3" t="s">
        <v>466</v>
      </c>
      <c r="F233" s="32" t="s">
        <v>467</v>
      </c>
      <c r="G233" s="711">
        <v>455</v>
      </c>
      <c r="H233" s="763" t="s">
        <v>299</v>
      </c>
      <c r="I233" s="256"/>
      <c r="J233" s="275"/>
      <c r="K233" s="205"/>
      <c r="L233" s="205"/>
      <c r="M233" s="265"/>
    </row>
    <row r="234" spans="1:13" ht="17.25" customHeight="1" hidden="1" thickBot="1">
      <c r="A234" s="45" t="s">
        <v>465</v>
      </c>
      <c r="B234" s="315"/>
      <c r="C234" s="814" t="s">
        <v>272</v>
      </c>
      <c r="D234" s="696"/>
      <c r="E234" s="193" t="s">
        <v>323</v>
      </c>
      <c r="F234" s="194"/>
      <c r="G234" s="708"/>
      <c r="H234" s="765"/>
      <c r="I234" s="256"/>
      <c r="J234" s="275"/>
      <c r="K234" s="205"/>
      <c r="L234" s="205"/>
      <c r="M234" s="265"/>
    </row>
    <row r="235" spans="1:13" ht="27" customHeight="1" hidden="1" thickBot="1">
      <c r="A235" s="46" t="s">
        <v>727</v>
      </c>
      <c r="B235" s="315"/>
      <c r="C235" s="797" t="s">
        <v>324</v>
      </c>
      <c r="D235" s="684"/>
      <c r="E235" s="55" t="s">
        <v>802</v>
      </c>
      <c r="F235" s="159"/>
      <c r="G235" s="712"/>
      <c r="H235" s="761"/>
      <c r="I235" s="256"/>
      <c r="J235" s="275"/>
      <c r="K235" s="205"/>
      <c r="L235" s="205"/>
      <c r="M235" s="265"/>
    </row>
    <row r="236" spans="1:13" ht="63" customHeight="1" hidden="1" thickBot="1">
      <c r="A236" s="47" t="s">
        <v>280</v>
      </c>
      <c r="B236" s="314"/>
      <c r="C236" s="800" t="s">
        <v>0</v>
      </c>
      <c r="D236" s="675"/>
      <c r="E236" s="53" t="s">
        <v>802</v>
      </c>
      <c r="F236" s="54" t="s">
        <v>428</v>
      </c>
      <c r="G236" s="709"/>
      <c r="H236" s="759"/>
      <c r="I236" s="256"/>
      <c r="J236" s="275"/>
      <c r="K236" s="205"/>
      <c r="L236" s="205"/>
      <c r="M236" s="265"/>
    </row>
    <row r="237" spans="1:13" ht="18.75" customHeight="1" thickBot="1">
      <c r="A237" s="187"/>
      <c r="B237" s="1020" t="s">
        <v>143</v>
      </c>
      <c r="C237" s="1021" t="s">
        <v>272</v>
      </c>
      <c r="D237" s="1015" t="s">
        <v>631</v>
      </c>
      <c r="E237" s="1022" t="s">
        <v>323</v>
      </c>
      <c r="F237" s="1023"/>
      <c r="G237" s="1024"/>
      <c r="H237" s="1025"/>
      <c r="I237" s="1019">
        <f>I241+I244</f>
        <v>16946.9</v>
      </c>
      <c r="J237" s="279" t="e">
        <f>J244</f>
        <v>#REF!</v>
      </c>
      <c r="K237" s="264" t="e">
        <f>K244</f>
        <v>#REF!</v>
      </c>
      <c r="L237" s="264" t="e">
        <f>L244</f>
        <v>#REF!</v>
      </c>
      <c r="M237" s="302" t="e">
        <f>M244</f>
        <v>#REF!</v>
      </c>
    </row>
    <row r="238" spans="1:13" ht="15" customHeight="1" hidden="1">
      <c r="A238" s="187"/>
      <c r="B238" s="954" t="s">
        <v>518</v>
      </c>
      <c r="C238" s="972" t="s">
        <v>693</v>
      </c>
      <c r="D238" s="731">
        <v>968</v>
      </c>
      <c r="E238" s="732">
        <v>1001</v>
      </c>
      <c r="F238" s="732"/>
      <c r="G238" s="958"/>
      <c r="H238" s="959"/>
      <c r="I238" s="871">
        <f>I239</f>
        <v>9259.8</v>
      </c>
      <c r="J238" s="279"/>
      <c r="K238" s="264"/>
      <c r="L238" s="264"/>
      <c r="M238" s="302"/>
    </row>
    <row r="239" spans="1:13" ht="15" customHeight="1" hidden="1">
      <c r="A239" s="187"/>
      <c r="B239" s="42" t="s">
        <v>521</v>
      </c>
      <c r="C239" s="965" t="s">
        <v>695</v>
      </c>
      <c r="D239" s="693">
        <v>968</v>
      </c>
      <c r="E239" s="130">
        <v>1001</v>
      </c>
      <c r="F239" s="130" t="s">
        <v>694</v>
      </c>
      <c r="G239" s="709"/>
      <c r="H239" s="746"/>
      <c r="I239" s="285">
        <f>I240</f>
        <v>9259.8</v>
      </c>
      <c r="J239" s="279"/>
      <c r="K239" s="264"/>
      <c r="L239" s="264"/>
      <c r="M239" s="302"/>
    </row>
    <row r="240" spans="1:13" ht="24.75" customHeight="1" hidden="1">
      <c r="A240" s="187"/>
      <c r="B240" s="2" t="s">
        <v>522</v>
      </c>
      <c r="C240" s="973" t="s">
        <v>520</v>
      </c>
      <c r="D240" s="694">
        <v>968</v>
      </c>
      <c r="E240" s="639">
        <v>1001</v>
      </c>
      <c r="F240" s="639" t="s">
        <v>694</v>
      </c>
      <c r="G240" s="695">
        <v>714</v>
      </c>
      <c r="H240" s="746"/>
      <c r="I240" s="284">
        <f>'Бюд.р.'!H560</f>
        <v>9259.8</v>
      </c>
      <c r="J240" s="279"/>
      <c r="K240" s="264"/>
      <c r="L240" s="264"/>
      <c r="M240" s="302"/>
    </row>
    <row r="241" spans="1:13" ht="19.5" customHeight="1">
      <c r="A241" s="187"/>
      <c r="B241" s="946" t="s">
        <v>519</v>
      </c>
      <c r="C241" s="964" t="s">
        <v>967</v>
      </c>
      <c r="D241" s="939" t="s">
        <v>631</v>
      </c>
      <c r="E241" s="948" t="s">
        <v>971</v>
      </c>
      <c r="F241" s="943"/>
      <c r="G241" s="944"/>
      <c r="H241" s="945"/>
      <c r="I241" s="940">
        <f>I242</f>
        <v>970.2</v>
      </c>
      <c r="J241" s="279"/>
      <c r="K241" s="264"/>
      <c r="L241" s="264"/>
      <c r="M241" s="302"/>
    </row>
    <row r="242" spans="1:13" ht="24.75" customHeight="1">
      <c r="A242" s="187"/>
      <c r="B242" s="42" t="s">
        <v>523</v>
      </c>
      <c r="C242" s="808" t="s">
        <v>968</v>
      </c>
      <c r="D242" s="675" t="s">
        <v>631</v>
      </c>
      <c r="E242" s="53" t="s">
        <v>971</v>
      </c>
      <c r="F242" s="130" t="s">
        <v>969</v>
      </c>
      <c r="G242" s="361"/>
      <c r="H242" s="736"/>
      <c r="I242" s="719">
        <f>I243</f>
        <v>970.2</v>
      </c>
      <c r="J242" s="279"/>
      <c r="K242" s="264"/>
      <c r="L242" s="264"/>
      <c r="M242" s="302"/>
    </row>
    <row r="243" spans="1:13" ht="21" customHeight="1">
      <c r="A243" s="187"/>
      <c r="B243" s="2" t="s">
        <v>524</v>
      </c>
      <c r="C243" s="722" t="s">
        <v>1059</v>
      </c>
      <c r="D243" s="677" t="s">
        <v>631</v>
      </c>
      <c r="E243" s="158" t="s">
        <v>971</v>
      </c>
      <c r="F243" s="1059" t="s">
        <v>969</v>
      </c>
      <c r="G243" s="720">
        <v>314</v>
      </c>
      <c r="H243" s="745"/>
      <c r="I243" s="721">
        <f>'Бюд.р.'!H531</f>
        <v>970.2</v>
      </c>
      <c r="J243" s="279"/>
      <c r="K243" s="264"/>
      <c r="L243" s="264"/>
      <c r="M243" s="302"/>
    </row>
    <row r="244" spans="1:13" ht="15" customHeight="1">
      <c r="A244" s="187"/>
      <c r="B244" s="986" t="s">
        <v>519</v>
      </c>
      <c r="C244" s="999" t="s">
        <v>698</v>
      </c>
      <c r="D244" s="987" t="s">
        <v>631</v>
      </c>
      <c r="E244" s="993" t="s">
        <v>802</v>
      </c>
      <c r="F244" s="995"/>
      <c r="G244" s="996"/>
      <c r="H244" s="1000"/>
      <c r="I244" s="989">
        <f>I245+I247+I249</f>
        <v>15976.7</v>
      </c>
      <c r="J244" s="272" t="e">
        <f>J247</f>
        <v>#REF!</v>
      </c>
      <c r="K244" s="123" t="e">
        <f>K248+K249</f>
        <v>#REF!</v>
      </c>
      <c r="L244" s="123" t="e">
        <f>L248+L249</f>
        <v>#REF!</v>
      </c>
      <c r="M244" s="296" t="e">
        <f>M248+M249</f>
        <v>#REF!</v>
      </c>
    </row>
    <row r="245" spans="1:13" ht="22.5" customHeight="1">
      <c r="A245" s="187"/>
      <c r="B245" s="42" t="s">
        <v>523</v>
      </c>
      <c r="C245" s="808" t="s">
        <v>66</v>
      </c>
      <c r="D245" s="675" t="s">
        <v>631</v>
      </c>
      <c r="E245" s="53" t="s">
        <v>802</v>
      </c>
      <c r="F245" s="130" t="s">
        <v>64</v>
      </c>
      <c r="G245" s="361"/>
      <c r="H245" s="736"/>
      <c r="I245" s="719">
        <f>I246</f>
        <v>4209.1</v>
      </c>
      <c r="J245" s="272"/>
      <c r="K245" s="272"/>
      <c r="L245" s="272"/>
      <c r="M245" s="1058"/>
    </row>
    <row r="246" spans="1:13" ht="23.25" customHeight="1">
      <c r="A246" s="187"/>
      <c r="B246" s="2" t="s">
        <v>524</v>
      </c>
      <c r="C246" s="804" t="s">
        <v>776</v>
      </c>
      <c r="D246" s="677" t="s">
        <v>631</v>
      </c>
      <c r="E246" s="158" t="s">
        <v>802</v>
      </c>
      <c r="F246" s="1059" t="s">
        <v>64</v>
      </c>
      <c r="G246" s="720">
        <v>598</v>
      </c>
      <c r="H246" s="745"/>
      <c r="I246" s="721">
        <f>'Бюд.р.'!H537</f>
        <v>4209.1</v>
      </c>
      <c r="J246" s="272"/>
      <c r="K246" s="272"/>
      <c r="L246" s="272"/>
      <c r="M246" s="1058"/>
    </row>
    <row r="247" spans="1:13" ht="18" customHeight="1">
      <c r="A247" s="187"/>
      <c r="B247" s="42" t="s">
        <v>523</v>
      </c>
      <c r="C247" s="962" t="s">
        <v>52</v>
      </c>
      <c r="D247" s="675" t="s">
        <v>631</v>
      </c>
      <c r="E247" s="53" t="s">
        <v>802</v>
      </c>
      <c r="F247" s="54" t="s">
        <v>53</v>
      </c>
      <c r="G247" s="709"/>
      <c r="H247" s="746"/>
      <c r="I247" s="285">
        <f>I248</f>
        <v>9259.8</v>
      </c>
      <c r="J247" s="273" t="e">
        <f>J248+J249</f>
        <v>#REF!</v>
      </c>
      <c r="K247" s="273" t="e">
        <f>K248+K249</f>
        <v>#REF!</v>
      </c>
      <c r="L247" s="273" t="e">
        <f>L248+L249</f>
        <v>#REF!</v>
      </c>
      <c r="M247" s="273" t="e">
        <f>M248+M249</f>
        <v>#REF!</v>
      </c>
    </row>
    <row r="248" spans="1:13" ht="24.75" customHeight="1">
      <c r="A248" s="187"/>
      <c r="B248" s="2" t="s">
        <v>524</v>
      </c>
      <c r="C248" s="963" t="s">
        <v>776</v>
      </c>
      <c r="D248" s="677" t="s">
        <v>631</v>
      </c>
      <c r="E248" s="158" t="s">
        <v>802</v>
      </c>
      <c r="F248" s="32" t="s">
        <v>53</v>
      </c>
      <c r="G248" s="668">
        <v>598</v>
      </c>
      <c r="H248" s="746"/>
      <c r="I248" s="284">
        <f>'Бюд.р.'!H558</f>
        <v>9259.8</v>
      </c>
      <c r="J248" s="273" t="e">
        <f>#REF!</f>
        <v>#REF!</v>
      </c>
      <c r="K248" s="157" t="e">
        <f>#REF!</f>
        <v>#REF!</v>
      </c>
      <c r="L248" s="157" t="e">
        <f>#REF!</f>
        <v>#REF!</v>
      </c>
      <c r="M248" s="297" t="e">
        <f>#REF!</f>
        <v>#REF!</v>
      </c>
    </row>
    <row r="249" spans="1:13" ht="25.5" customHeight="1">
      <c r="A249" s="47" t="s">
        <v>268</v>
      </c>
      <c r="B249" s="42" t="s">
        <v>963</v>
      </c>
      <c r="C249" s="962" t="s">
        <v>570</v>
      </c>
      <c r="D249" s="675" t="s">
        <v>631</v>
      </c>
      <c r="E249" s="53" t="s">
        <v>802</v>
      </c>
      <c r="F249" s="54" t="s">
        <v>54</v>
      </c>
      <c r="G249" s="709"/>
      <c r="H249" s="751"/>
      <c r="I249" s="719">
        <f>I250</f>
        <v>2507.8</v>
      </c>
      <c r="J249" s="273">
        <f>J250</f>
        <v>272.6</v>
      </c>
      <c r="K249" s="273">
        <f>K250</f>
        <v>287.8</v>
      </c>
      <c r="L249" s="273">
        <f>L250</f>
        <v>287.7</v>
      </c>
      <c r="M249" s="273">
        <f>M250</f>
        <v>287.7</v>
      </c>
    </row>
    <row r="250" spans="1:13" ht="24.75" customHeight="1" thickBot="1">
      <c r="A250" s="334"/>
      <c r="B250" s="937" t="s">
        <v>964</v>
      </c>
      <c r="C250" s="967" t="s">
        <v>776</v>
      </c>
      <c r="D250" s="713" t="s">
        <v>631</v>
      </c>
      <c r="E250" s="437" t="s">
        <v>802</v>
      </c>
      <c r="F250" s="438" t="s">
        <v>54</v>
      </c>
      <c r="G250" s="714">
        <v>598</v>
      </c>
      <c r="H250" s="750"/>
      <c r="I250" s="439">
        <f>'Бюд.р.'!H564</f>
        <v>2507.8</v>
      </c>
      <c r="J250" s="303">
        <v>272.6</v>
      </c>
      <c r="K250" s="304">
        <v>287.8</v>
      </c>
      <c r="L250" s="304">
        <v>287.7</v>
      </c>
      <c r="M250" s="305">
        <v>287.7</v>
      </c>
    </row>
    <row r="251" spans="1:13" ht="28.5" customHeight="1" hidden="1" thickBot="1">
      <c r="A251" s="334"/>
      <c r="B251" s="440"/>
      <c r="C251" s="789" t="s">
        <v>857</v>
      </c>
      <c r="D251" s="778">
        <v>917</v>
      </c>
      <c r="E251" s="661"/>
      <c r="F251" s="444"/>
      <c r="G251" s="667"/>
      <c r="H251" s="766"/>
      <c r="I251" s="779">
        <f>I252</f>
        <v>0</v>
      </c>
      <c r="J251" s="303"/>
      <c r="K251" s="303"/>
      <c r="L251" s="303"/>
      <c r="M251" s="435"/>
    </row>
    <row r="252" spans="1:13" ht="28.5" customHeight="1" hidden="1" thickBot="1">
      <c r="A252" s="334"/>
      <c r="B252" s="733" t="s">
        <v>673</v>
      </c>
      <c r="C252" s="820" t="s">
        <v>111</v>
      </c>
      <c r="D252" s="821">
        <v>917</v>
      </c>
      <c r="E252" s="821">
        <v>100</v>
      </c>
      <c r="F252" s="826"/>
      <c r="G252" s="827"/>
      <c r="H252" s="828"/>
      <c r="I252" s="830">
        <f>I253</f>
        <v>0</v>
      </c>
      <c r="J252" s="303"/>
      <c r="K252" s="303"/>
      <c r="L252" s="303"/>
      <c r="M252" s="435"/>
    </row>
    <row r="253" spans="1:13" ht="30" customHeight="1" hidden="1" thickBot="1">
      <c r="A253" s="334"/>
      <c r="B253" s="730" t="s">
        <v>76</v>
      </c>
      <c r="C253" s="822" t="s">
        <v>23</v>
      </c>
      <c r="D253" s="823">
        <v>917</v>
      </c>
      <c r="E253" s="823">
        <v>107</v>
      </c>
      <c r="F253" s="824"/>
      <c r="G253" s="825"/>
      <c r="H253" s="829"/>
      <c r="I253" s="831">
        <f>I254</f>
        <v>0</v>
      </c>
      <c r="J253" s="303"/>
      <c r="K253" s="303"/>
      <c r="L253" s="303"/>
      <c r="M253" s="435"/>
    </row>
    <row r="254" spans="1:13" ht="30" customHeight="1" hidden="1" thickBot="1">
      <c r="A254" s="334"/>
      <c r="B254" s="42" t="s">
        <v>77</v>
      </c>
      <c r="C254" s="385" t="s">
        <v>149</v>
      </c>
      <c r="D254" s="137">
        <v>917</v>
      </c>
      <c r="E254" s="137">
        <v>107</v>
      </c>
      <c r="F254" s="137" t="s">
        <v>150</v>
      </c>
      <c r="G254" s="137"/>
      <c r="H254" s="449"/>
      <c r="I254" s="727">
        <f>I255</f>
        <v>0</v>
      </c>
      <c r="J254" s="303"/>
      <c r="K254" s="303"/>
      <c r="L254" s="303"/>
      <c r="M254" s="435"/>
    </row>
    <row r="255" spans="1:13" ht="14.25" customHeight="1" hidden="1" thickBot="1">
      <c r="A255" s="334"/>
      <c r="B255" s="2" t="s">
        <v>78</v>
      </c>
      <c r="C255" s="388" t="s">
        <v>426</v>
      </c>
      <c r="D255" s="639">
        <v>917</v>
      </c>
      <c r="E255" s="639">
        <v>107</v>
      </c>
      <c r="F255" s="639" t="s">
        <v>150</v>
      </c>
      <c r="G255" s="639">
        <v>500</v>
      </c>
      <c r="H255" s="449"/>
      <c r="I255" s="752">
        <f>'Бюд.р.'!H571</f>
        <v>0</v>
      </c>
      <c r="J255" s="303"/>
      <c r="K255" s="303"/>
      <c r="L255" s="303"/>
      <c r="M255" s="435"/>
    </row>
    <row r="256" spans="1:13" ht="14.25" customHeight="1" thickBot="1">
      <c r="A256" s="334"/>
      <c r="B256" s="1026" t="s">
        <v>901</v>
      </c>
      <c r="C256" s="1027" t="s">
        <v>891</v>
      </c>
      <c r="D256" s="1028">
        <v>968</v>
      </c>
      <c r="E256" s="1028">
        <v>1100</v>
      </c>
      <c r="F256" s="1028"/>
      <c r="G256" s="1028"/>
      <c r="H256" s="1029"/>
      <c r="I256" s="1012">
        <f>I257</f>
        <v>3865.685</v>
      </c>
      <c r="J256" s="303"/>
      <c r="K256" s="303"/>
      <c r="L256" s="303"/>
      <c r="M256" s="435"/>
    </row>
    <row r="257" spans="1:13" ht="14.25" customHeight="1" thickBot="1">
      <c r="A257" s="334"/>
      <c r="B257" s="1001" t="s">
        <v>33</v>
      </c>
      <c r="C257" s="1002" t="s">
        <v>892</v>
      </c>
      <c r="D257" s="1003">
        <v>968</v>
      </c>
      <c r="E257" s="1003">
        <v>1102</v>
      </c>
      <c r="F257" s="1003"/>
      <c r="G257" s="1003"/>
      <c r="H257" s="1004"/>
      <c r="I257" s="1005">
        <f>I258</f>
        <v>3865.685</v>
      </c>
      <c r="J257" s="303"/>
      <c r="K257" s="303"/>
      <c r="L257" s="303"/>
      <c r="M257" s="435"/>
    </row>
    <row r="258" spans="1:13" ht="33.75" customHeight="1" thickBot="1">
      <c r="A258" s="334"/>
      <c r="B258" s="42" t="s">
        <v>523</v>
      </c>
      <c r="C258" s="808" t="s">
        <v>697</v>
      </c>
      <c r="D258" s="130">
        <v>968</v>
      </c>
      <c r="E258" s="130">
        <v>1102</v>
      </c>
      <c r="F258" s="130" t="str">
        <f>F259</f>
        <v>487 01 00</v>
      </c>
      <c r="G258" s="130"/>
      <c r="H258" s="975"/>
      <c r="I258" s="719">
        <f>I259</f>
        <v>3865.685</v>
      </c>
      <c r="J258" s="303"/>
      <c r="K258" s="303"/>
      <c r="L258" s="303"/>
      <c r="M258" s="435"/>
    </row>
    <row r="259" spans="1:13" ht="14.25" customHeight="1" thickBot="1">
      <c r="A259" s="334"/>
      <c r="B259" s="933" t="s">
        <v>38</v>
      </c>
      <c r="C259" s="722" t="s">
        <v>988</v>
      </c>
      <c r="D259" s="961">
        <v>968</v>
      </c>
      <c r="E259" s="961">
        <v>1102</v>
      </c>
      <c r="F259" s="961" t="s">
        <v>1011</v>
      </c>
      <c r="G259" s="961">
        <v>240</v>
      </c>
      <c r="H259" s="934"/>
      <c r="I259" s="960">
        <f>'Бюд.р.'!H583</f>
        <v>3865.685</v>
      </c>
      <c r="J259" s="303"/>
      <c r="K259" s="303"/>
      <c r="L259" s="303"/>
      <c r="M259" s="435"/>
    </row>
    <row r="260" spans="1:13" ht="14.25" customHeight="1" thickBot="1">
      <c r="A260" s="334"/>
      <c r="B260" s="1026" t="s">
        <v>902</v>
      </c>
      <c r="C260" s="1009" t="s">
        <v>893</v>
      </c>
      <c r="D260" s="1028">
        <v>968</v>
      </c>
      <c r="E260" s="1028">
        <v>1200</v>
      </c>
      <c r="F260" s="1028"/>
      <c r="G260" s="1028"/>
      <c r="H260" s="1029"/>
      <c r="I260" s="1012">
        <f>I261</f>
        <v>1800</v>
      </c>
      <c r="J260" s="303"/>
      <c r="K260" s="303"/>
      <c r="L260" s="303"/>
      <c r="M260" s="435"/>
    </row>
    <row r="261" spans="1:13" ht="14.25" customHeight="1" thickBot="1">
      <c r="A261" s="334"/>
      <c r="B261" s="1001" t="s">
        <v>76</v>
      </c>
      <c r="C261" s="1006" t="s">
        <v>692</v>
      </c>
      <c r="D261" s="1007">
        <v>968</v>
      </c>
      <c r="E261" s="1007">
        <v>1202</v>
      </c>
      <c r="F261" s="1007"/>
      <c r="G261" s="1007"/>
      <c r="H261" s="1004"/>
      <c r="I261" s="1008">
        <f>I262</f>
        <v>1800</v>
      </c>
      <c r="J261" s="303"/>
      <c r="K261" s="303"/>
      <c r="L261" s="303"/>
      <c r="M261" s="435"/>
    </row>
    <row r="262" spans="1:13" ht="24.75" customHeight="1" thickBot="1">
      <c r="A262" s="334"/>
      <c r="B262" s="42" t="s">
        <v>77</v>
      </c>
      <c r="C262" s="808" t="s">
        <v>1032</v>
      </c>
      <c r="D262" s="724">
        <v>968</v>
      </c>
      <c r="E262" s="724">
        <v>1202</v>
      </c>
      <c r="F262" s="724" t="s">
        <v>696</v>
      </c>
      <c r="G262" s="724"/>
      <c r="H262" s="938"/>
      <c r="I262" s="936">
        <f>I263</f>
        <v>1800</v>
      </c>
      <c r="J262" s="303"/>
      <c r="K262" s="303"/>
      <c r="L262" s="303"/>
      <c r="M262" s="435"/>
    </row>
    <row r="263" spans="1:13" ht="14.25" customHeight="1" thickBot="1">
      <c r="A263" s="334"/>
      <c r="B263" s="974" t="s">
        <v>78</v>
      </c>
      <c r="C263" s="722" t="s">
        <v>988</v>
      </c>
      <c r="D263" s="720">
        <v>968</v>
      </c>
      <c r="E263" s="720">
        <v>1202</v>
      </c>
      <c r="F263" s="720" t="s">
        <v>696</v>
      </c>
      <c r="G263" s="720">
        <v>240</v>
      </c>
      <c r="H263" s="934"/>
      <c r="I263" s="935">
        <f>'Бюд.р.'!H593</f>
        <v>1800</v>
      </c>
      <c r="J263" s="303"/>
      <c r="K263" s="303"/>
      <c r="L263" s="303"/>
      <c r="M263" s="435"/>
    </row>
    <row r="264" spans="1:13" ht="18" customHeight="1" thickBot="1">
      <c r="A264" s="334"/>
      <c r="B264" s="440"/>
      <c r="C264" s="441" t="s">
        <v>325</v>
      </c>
      <c r="D264" s="442"/>
      <c r="E264" s="443"/>
      <c r="F264" s="444"/>
      <c r="G264" s="445"/>
      <c r="H264" s="443"/>
      <c r="I264" s="446" t="e">
        <f>I32+I65</f>
        <v>#REF!</v>
      </c>
      <c r="J264" s="303"/>
      <c r="K264" s="303"/>
      <c r="L264" s="303"/>
      <c r="M264" s="435"/>
    </row>
    <row r="265" spans="1:13" ht="29.25" customHeight="1" hidden="1" thickBot="1">
      <c r="A265" s="334"/>
      <c r="B265" s="440"/>
      <c r="C265" s="447" t="s">
        <v>778</v>
      </c>
      <c r="D265" s="442"/>
      <c r="E265" s="443"/>
      <c r="F265" s="444"/>
      <c r="G265" s="445"/>
      <c r="H265" s="443"/>
      <c r="I265" s="446">
        <f>кв!D99</f>
        <v>6999.999999999982</v>
      </c>
      <c r="J265" s="303"/>
      <c r="K265" s="303"/>
      <c r="L265" s="303"/>
      <c r="M265" s="435"/>
    </row>
    <row r="266" spans="1:13" ht="24.75" customHeight="1" thickBot="1">
      <c r="A266" s="334"/>
      <c r="B266" s="448"/>
      <c r="C266" s="450" t="s">
        <v>358</v>
      </c>
      <c r="D266" s="451"/>
      <c r="E266" s="452"/>
      <c r="F266" s="2926" t="s">
        <v>74</v>
      </c>
      <c r="G266" s="2926"/>
      <c r="H266" s="2926"/>
      <c r="I266" s="2926"/>
      <c r="J266" s="303"/>
      <c r="K266" s="303"/>
      <c r="L266" s="303"/>
      <c r="M266" s="435"/>
    </row>
    <row r="267" spans="1:13" ht="24.75" customHeight="1" thickBot="1">
      <c r="A267" s="334"/>
      <c r="B267" s="448"/>
      <c r="C267" s="450" t="s">
        <v>359</v>
      </c>
      <c r="D267" s="451"/>
      <c r="E267" s="452"/>
      <c r="F267" s="2926" t="s">
        <v>360</v>
      </c>
      <c r="G267" s="2926"/>
      <c r="H267" s="2926"/>
      <c r="I267" s="2926"/>
      <c r="J267" s="303"/>
      <c r="K267" s="303"/>
      <c r="L267" s="303"/>
      <c r="M267" s="435"/>
    </row>
    <row r="268" spans="1:13" ht="12.75" hidden="1">
      <c r="A268" s="48" t="s">
        <v>109</v>
      </c>
      <c r="B268" s="286"/>
      <c r="C268" s="287" t="s">
        <v>293</v>
      </c>
      <c r="D268" s="288"/>
      <c r="E268" s="289" t="s">
        <v>802</v>
      </c>
      <c r="F268" s="290" t="s">
        <v>429</v>
      </c>
      <c r="G268" s="290">
        <v>755</v>
      </c>
      <c r="H268" s="289" t="s">
        <v>277</v>
      </c>
      <c r="I268" s="280">
        <f aca="true" t="shared" si="3" ref="I268:I286">SUM(J268:M268)</f>
        <v>0</v>
      </c>
      <c r="J268" s="291"/>
      <c r="K268" s="291"/>
      <c r="L268" s="291"/>
      <c r="M268" s="291"/>
    </row>
    <row r="269" spans="1:13" ht="23.25" hidden="1" thickBot="1">
      <c r="A269" s="51" t="s">
        <v>701</v>
      </c>
      <c r="B269" s="197"/>
      <c r="C269" s="198" t="s">
        <v>803</v>
      </c>
      <c r="D269" s="26"/>
      <c r="E269" s="13" t="s">
        <v>802</v>
      </c>
      <c r="F269" s="13" t="s">
        <v>429</v>
      </c>
      <c r="G269" s="13" t="s">
        <v>321</v>
      </c>
      <c r="H269" s="13" t="s">
        <v>322</v>
      </c>
      <c r="I269" s="256">
        <f t="shared" si="3"/>
        <v>0</v>
      </c>
      <c r="J269" s="253"/>
      <c r="K269" s="253"/>
      <c r="L269" s="253"/>
      <c r="M269" s="253"/>
    </row>
    <row r="270" spans="1:13" ht="21" customHeight="1" hidden="1" thickBot="1">
      <c r="A270" s="188"/>
      <c r="B270" s="199"/>
      <c r="C270" s="202" t="s">
        <v>325</v>
      </c>
      <c r="D270" s="200"/>
      <c r="E270" s="201"/>
      <c r="F270" s="201"/>
      <c r="G270" s="201"/>
      <c r="H270" s="201"/>
      <c r="I270" s="256">
        <f t="shared" si="3"/>
        <v>0</v>
      </c>
      <c r="J270" s="254"/>
      <c r="K270" s="254"/>
      <c r="L270" s="254"/>
      <c r="M270" s="254"/>
    </row>
    <row r="271" spans="3:13" ht="12.75" hidden="1">
      <c r="C271" t="s">
        <v>837</v>
      </c>
      <c r="I271" s="256">
        <f t="shared" si="3"/>
        <v>0</v>
      </c>
      <c r="J271" s="38"/>
      <c r="K271" s="38"/>
      <c r="L271" s="38"/>
      <c r="M271" s="38"/>
    </row>
    <row r="272" spans="3:13" ht="12.75" hidden="1">
      <c r="C272" s="27" t="s">
        <v>812</v>
      </c>
      <c r="D272" s="27"/>
      <c r="E272" s="27"/>
      <c r="F272" s="27"/>
      <c r="G272" s="27"/>
      <c r="H272" s="27"/>
      <c r="I272" s="256">
        <f t="shared" si="3"/>
        <v>0</v>
      </c>
      <c r="J272" s="27"/>
      <c r="K272" s="27"/>
      <c r="L272" s="27"/>
      <c r="M272" s="27"/>
    </row>
    <row r="273" spans="3:9" ht="12.75" hidden="1">
      <c r="C273" t="s">
        <v>836</v>
      </c>
      <c r="I273" s="256">
        <f t="shared" si="3"/>
        <v>0</v>
      </c>
    </row>
    <row r="274" spans="3:9" ht="12.75" hidden="1">
      <c r="C274" t="s">
        <v>811</v>
      </c>
      <c r="I274" s="256">
        <f t="shared" si="3"/>
        <v>0</v>
      </c>
    </row>
    <row r="275" spans="3:9" ht="12.75" hidden="1">
      <c r="C275" t="s">
        <v>810</v>
      </c>
      <c r="I275" s="256">
        <f t="shared" si="3"/>
        <v>0</v>
      </c>
    </row>
    <row r="276" ht="12.75" hidden="1">
      <c r="I276" s="256">
        <f t="shared" si="3"/>
        <v>0</v>
      </c>
    </row>
    <row r="277" spans="3:13" ht="12.75" hidden="1">
      <c r="C277" s="151" t="s">
        <v>815</v>
      </c>
      <c r="D277" s="116"/>
      <c r="E277" s="116"/>
      <c r="F277" s="116"/>
      <c r="G277" s="116"/>
      <c r="H277" s="116"/>
      <c r="I277" s="256">
        <f t="shared" si="3"/>
        <v>0</v>
      </c>
      <c r="J277" s="116"/>
      <c r="K277" s="116"/>
      <c r="L277" s="116"/>
      <c r="M277" s="116"/>
    </row>
    <row r="278" spans="3:13" ht="12.75" hidden="1">
      <c r="C278" s="147" t="s">
        <v>813</v>
      </c>
      <c r="D278" s="38"/>
      <c r="E278" s="38"/>
      <c r="F278" s="38" t="e">
        <f>#REF!-#REF!</f>
        <v>#REF!</v>
      </c>
      <c r="G278" s="38"/>
      <c r="H278" s="38"/>
      <c r="I278" s="256">
        <f t="shared" si="3"/>
        <v>0</v>
      </c>
      <c r="J278" s="38"/>
      <c r="K278" s="38"/>
      <c r="L278" s="38"/>
      <c r="M278" s="38"/>
    </row>
    <row r="279" spans="3:13" ht="13.5" hidden="1" thickBot="1">
      <c r="C279" s="148" t="s">
        <v>809</v>
      </c>
      <c r="D279" s="149"/>
      <c r="E279" s="149"/>
      <c r="F279" s="38" t="e">
        <f>#REF!-#REF!</f>
        <v>#REF!</v>
      </c>
      <c r="G279" s="149"/>
      <c r="H279" s="149"/>
      <c r="I279" s="256">
        <f t="shared" si="3"/>
        <v>0</v>
      </c>
      <c r="J279" s="149"/>
      <c r="K279" s="149"/>
      <c r="L279" s="149"/>
      <c r="M279" s="149"/>
    </row>
    <row r="280" spans="3:13" ht="12.75" hidden="1">
      <c r="C280" s="151" t="s">
        <v>814</v>
      </c>
      <c r="D280" s="116"/>
      <c r="E280" s="116"/>
      <c r="F280" s="116"/>
      <c r="G280" s="116"/>
      <c r="H280" s="116"/>
      <c r="I280" s="256">
        <f t="shared" si="3"/>
        <v>0</v>
      </c>
      <c r="J280" s="116"/>
      <c r="K280" s="116"/>
      <c r="L280" s="116"/>
      <c r="M280" s="116"/>
    </row>
    <row r="281" spans="3:13" ht="12.75" hidden="1">
      <c r="C281" s="147" t="s">
        <v>813</v>
      </c>
      <c r="D281" s="38"/>
      <c r="E281" s="38"/>
      <c r="F281" s="145" t="e">
        <f>#REF!-#REF!</f>
        <v>#REF!</v>
      </c>
      <c r="G281" s="38"/>
      <c r="H281" s="38"/>
      <c r="I281" s="256">
        <f t="shared" si="3"/>
        <v>0</v>
      </c>
      <c r="J281" s="145"/>
      <c r="K281" s="145"/>
      <c r="L281" s="145"/>
      <c r="M281" s="145"/>
    </row>
    <row r="282" spans="3:13" ht="13.5" hidden="1" thickBot="1">
      <c r="C282" s="148" t="s">
        <v>809</v>
      </c>
      <c r="D282" s="149"/>
      <c r="E282" s="149"/>
      <c r="F282" s="150" t="e">
        <f>#REF!-#REF!</f>
        <v>#REF!</v>
      </c>
      <c r="G282" s="149"/>
      <c r="H282" s="149"/>
      <c r="I282" s="256">
        <f t="shared" si="3"/>
        <v>0</v>
      </c>
      <c r="J282" s="150"/>
      <c r="K282" s="150"/>
      <c r="L282" s="150"/>
      <c r="M282" s="150"/>
    </row>
    <row r="283" spans="9:13" ht="12.75" hidden="1">
      <c r="I283" s="256">
        <f t="shared" si="3"/>
        <v>0</v>
      </c>
      <c r="J283" s="146"/>
      <c r="K283" s="146"/>
      <c r="L283" s="146"/>
      <c r="M283" s="146"/>
    </row>
    <row r="284" spans="3:9" ht="12.75" hidden="1">
      <c r="C284" t="s">
        <v>342</v>
      </c>
      <c r="I284" s="256">
        <f t="shared" si="3"/>
        <v>0</v>
      </c>
    </row>
    <row r="285" spans="3:9" ht="12.75" hidden="1">
      <c r="C285" t="s">
        <v>343</v>
      </c>
      <c r="I285" s="256">
        <f t="shared" si="3"/>
        <v>0</v>
      </c>
    </row>
    <row r="286" spans="3:9" ht="12.75" hidden="1">
      <c r="C286" t="s">
        <v>344</v>
      </c>
      <c r="I286" s="335">
        <f t="shared" si="3"/>
        <v>0</v>
      </c>
    </row>
    <row r="287" spans="2:9" ht="12.75">
      <c r="B287" s="436"/>
      <c r="C287" s="436"/>
      <c r="D287" s="436"/>
      <c r="E287" s="436"/>
      <c r="F287" s="436"/>
      <c r="G287" s="436"/>
      <c r="H287" s="436"/>
      <c r="I287" s="333"/>
    </row>
    <row r="288" spans="2:13" ht="12.75">
      <c r="B288" s="38"/>
      <c r="C288" s="38"/>
      <c r="D288" s="38"/>
      <c r="E288" s="38"/>
      <c r="F288" s="38"/>
      <c r="G288" s="38"/>
      <c r="H288" s="38"/>
      <c r="I288" s="333"/>
      <c r="J288" s="38"/>
      <c r="K288" s="38"/>
      <c r="L288" s="38"/>
      <c r="M288" s="38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2.12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  <col min="10" max="10" width="11.00390625" style="0" bestFit="1" customWidth="1"/>
    <col min="11" max="11" width="9.875" style="0" bestFit="1" customWidth="1"/>
  </cols>
  <sheetData>
    <row r="1" spans="1:11" ht="15.75">
      <c r="A1" s="2939" t="s">
        <v>1403</v>
      </c>
      <c r="B1" s="2939"/>
      <c r="C1" s="2939"/>
      <c r="D1" s="2939"/>
      <c r="E1" s="2939"/>
      <c r="F1" s="2939"/>
      <c r="G1" s="2939"/>
      <c r="H1" s="2939"/>
      <c r="I1" s="2939"/>
      <c r="J1" s="2939"/>
      <c r="K1" s="2939"/>
    </row>
    <row r="2" spans="1:11" ht="15.75">
      <c r="A2" s="2939" t="s">
        <v>1404</v>
      </c>
      <c r="B2" s="2939"/>
      <c r="C2" s="2939"/>
      <c r="D2" s="2939"/>
      <c r="E2" s="2939"/>
      <c r="F2" s="2939"/>
      <c r="G2" s="2939"/>
      <c r="H2" s="2939"/>
      <c r="I2" s="2939"/>
      <c r="J2" s="2939"/>
      <c r="K2" s="2939"/>
    </row>
    <row r="3" spans="1:11" ht="16.5" thickBot="1">
      <c r="A3" s="2939" t="s">
        <v>1427</v>
      </c>
      <c r="B3" s="2939"/>
      <c r="C3" s="2939"/>
      <c r="D3" s="2939"/>
      <c r="E3" s="2939"/>
      <c r="F3" s="2817"/>
      <c r="G3" s="2817"/>
      <c r="H3" s="2817"/>
      <c r="I3" s="2817"/>
      <c r="J3" s="2946" t="s">
        <v>1408</v>
      </c>
      <c r="K3" s="2946"/>
    </row>
    <row r="4" spans="1:11" ht="15.75" customHeight="1">
      <c r="A4" s="2949" t="s">
        <v>688</v>
      </c>
      <c r="B4" s="2933" t="s">
        <v>302</v>
      </c>
      <c r="C4" s="2934"/>
      <c r="D4" s="2935" t="s">
        <v>301</v>
      </c>
      <c r="E4" s="2702" t="s">
        <v>1405</v>
      </c>
      <c r="F4" s="2940" t="s">
        <v>444</v>
      </c>
      <c r="G4" s="2937" t="s">
        <v>445</v>
      </c>
      <c r="H4" s="2937" t="s">
        <v>446</v>
      </c>
      <c r="I4" s="2942" t="s">
        <v>447</v>
      </c>
      <c r="J4" s="2947" t="s">
        <v>1406</v>
      </c>
      <c r="K4" s="2944" t="s">
        <v>1407</v>
      </c>
    </row>
    <row r="5" spans="1:11" ht="29.25" customHeight="1" thickBot="1">
      <c r="A5" s="2950"/>
      <c r="B5" s="2703" t="s">
        <v>170</v>
      </c>
      <c r="C5" s="2704" t="s">
        <v>663</v>
      </c>
      <c r="D5" s="2936"/>
      <c r="E5" s="2705" t="s">
        <v>837</v>
      </c>
      <c r="F5" s="2941"/>
      <c r="G5" s="2938"/>
      <c r="H5" s="2938"/>
      <c r="I5" s="2943"/>
      <c r="J5" s="2948"/>
      <c r="K5" s="2945"/>
    </row>
    <row r="6" spans="1:11" ht="19.5" thickBot="1">
      <c r="A6" s="2272" t="s">
        <v>673</v>
      </c>
      <c r="B6" s="60" t="s">
        <v>168</v>
      </c>
      <c r="C6" s="61" t="s">
        <v>167</v>
      </c>
      <c r="D6" s="58" t="s">
        <v>392</v>
      </c>
      <c r="E6" s="1880">
        <f>E7+E29</f>
        <v>101711.7</v>
      </c>
      <c r="F6" s="1880">
        <f>F7+F29</f>
        <v>7154</v>
      </c>
      <c r="G6" s="1880">
        <f>G7+G29</f>
        <v>7396</v>
      </c>
      <c r="H6" s="1880">
        <f>H7+H29</f>
        <v>20387</v>
      </c>
      <c r="I6" s="1880">
        <f>I7+I29</f>
        <v>10430</v>
      </c>
      <c r="J6" s="1880">
        <f>J7+J29</f>
        <v>82954.3</v>
      </c>
      <c r="K6" s="2811">
        <f>J6/E6*100</f>
        <v>81.55826714134166</v>
      </c>
    </row>
    <row r="7" spans="1:11" ht="19.5" thickBot="1">
      <c r="A7" s="2273"/>
      <c r="B7" s="217"/>
      <c r="C7" s="218"/>
      <c r="D7" s="219" t="s">
        <v>478</v>
      </c>
      <c r="E7" s="2742">
        <f aca="true" t="shared" si="0" ref="E7:J7">E8+E23+E26</f>
        <v>99084.9</v>
      </c>
      <c r="F7" s="2742">
        <f t="shared" si="0"/>
        <v>7154</v>
      </c>
      <c r="G7" s="2742">
        <f t="shared" si="0"/>
        <v>7396</v>
      </c>
      <c r="H7" s="2742">
        <f t="shared" si="0"/>
        <v>20387</v>
      </c>
      <c r="I7" s="2742">
        <f t="shared" si="0"/>
        <v>10430</v>
      </c>
      <c r="J7" s="2742">
        <f>J8+J23+J26</f>
        <v>77944.8</v>
      </c>
      <c r="K7" s="2813">
        <f aca="true" t="shared" si="1" ref="K7:K65">J7/E7*100</f>
        <v>78.66466030646447</v>
      </c>
    </row>
    <row r="8" spans="1:11" ht="17.25" customHeight="1" thickBot="1">
      <c r="A8" s="2274">
        <v>1</v>
      </c>
      <c r="B8" s="35" t="s">
        <v>170</v>
      </c>
      <c r="C8" s="62" t="s">
        <v>169</v>
      </c>
      <c r="D8" s="115" t="s">
        <v>305</v>
      </c>
      <c r="E8" s="2743">
        <f aca="true" t="shared" si="2" ref="E8:J8">E9+E18+E21</f>
        <v>59675</v>
      </c>
      <c r="F8" s="2743">
        <f t="shared" si="2"/>
        <v>6034</v>
      </c>
      <c r="G8" s="2743">
        <f t="shared" si="2"/>
        <v>7053</v>
      </c>
      <c r="H8" s="2743">
        <f t="shared" si="2"/>
        <v>6146</v>
      </c>
      <c r="I8" s="2743">
        <f t="shared" si="2"/>
        <v>7012</v>
      </c>
      <c r="J8" s="2743">
        <f t="shared" si="2"/>
        <v>45851</v>
      </c>
      <c r="K8" s="2815">
        <f t="shared" si="1"/>
        <v>76.83452031839128</v>
      </c>
    </row>
    <row r="9" spans="1:11" ht="32.25" customHeight="1">
      <c r="A9" s="2275" t="s">
        <v>280</v>
      </c>
      <c r="B9" s="92" t="s">
        <v>170</v>
      </c>
      <c r="C9" s="1841" t="s">
        <v>668</v>
      </c>
      <c r="D9" s="1842" t="s">
        <v>345</v>
      </c>
      <c r="E9" s="2737">
        <f aca="true" t="shared" si="3" ref="E9:J9">E10+E13+E16</f>
        <v>25945</v>
      </c>
      <c r="F9" s="2737">
        <f t="shared" si="3"/>
        <v>1040</v>
      </c>
      <c r="G9" s="2737">
        <f t="shared" si="3"/>
        <v>1321</v>
      </c>
      <c r="H9" s="2737">
        <f t="shared" si="3"/>
        <v>1324</v>
      </c>
      <c r="I9" s="2737">
        <f t="shared" si="3"/>
        <v>1420</v>
      </c>
      <c r="J9" s="2737">
        <f t="shared" si="3"/>
        <v>21403</v>
      </c>
      <c r="K9" s="2745">
        <f t="shared" si="1"/>
        <v>82.49373675081904</v>
      </c>
    </row>
    <row r="10" spans="1:11" ht="26.25" customHeight="1">
      <c r="A10" s="2276" t="s">
        <v>198</v>
      </c>
      <c r="B10" s="1063" t="s">
        <v>171</v>
      </c>
      <c r="C10" s="2336" t="s">
        <v>172</v>
      </c>
      <c r="D10" s="2302" t="s">
        <v>361</v>
      </c>
      <c r="E10" s="1881">
        <f>E11+E12</f>
        <v>19140</v>
      </c>
      <c r="F10" s="2744">
        <v>890</v>
      </c>
      <c r="G10" s="2745">
        <v>1050</v>
      </c>
      <c r="H10" s="2745">
        <v>1072</v>
      </c>
      <c r="I10" s="2746">
        <v>1157</v>
      </c>
      <c r="J10" s="2730">
        <f>J11+J12</f>
        <v>14384.4</v>
      </c>
      <c r="K10" s="2745">
        <f t="shared" si="1"/>
        <v>75.15360501567397</v>
      </c>
    </row>
    <row r="11" spans="1:11" ht="26.25" customHeight="1">
      <c r="A11" s="572" t="s">
        <v>201</v>
      </c>
      <c r="B11" s="229" t="s">
        <v>171</v>
      </c>
      <c r="C11" s="68" t="s">
        <v>911</v>
      </c>
      <c r="D11" s="2303" t="s">
        <v>361</v>
      </c>
      <c r="E11" s="1882">
        <v>19137</v>
      </c>
      <c r="F11" s="2738"/>
      <c r="G11" s="2739"/>
      <c r="H11" s="2739"/>
      <c r="I11" s="2740"/>
      <c r="J11" s="2741">
        <v>14380.5</v>
      </c>
      <c r="K11" s="2739">
        <f t="shared" si="1"/>
        <v>75.14500705439724</v>
      </c>
    </row>
    <row r="12" spans="1:11" ht="39.75" customHeight="1">
      <c r="A12" s="572" t="s">
        <v>202</v>
      </c>
      <c r="B12" s="229" t="s">
        <v>171</v>
      </c>
      <c r="C12" s="68" t="s">
        <v>912</v>
      </c>
      <c r="D12" s="2303" t="s">
        <v>915</v>
      </c>
      <c r="E12" s="1882">
        <v>3</v>
      </c>
      <c r="F12" s="2738"/>
      <c r="G12" s="2739"/>
      <c r="H12" s="2739"/>
      <c r="I12" s="2740"/>
      <c r="J12" s="2741">
        <v>3.9</v>
      </c>
      <c r="K12" s="2739">
        <f t="shared" si="1"/>
        <v>130</v>
      </c>
    </row>
    <row r="13" spans="1:11" ht="36.75" customHeight="1">
      <c r="A13" s="2276" t="s">
        <v>393</v>
      </c>
      <c r="B13" s="1063" t="s">
        <v>171</v>
      </c>
      <c r="C13" s="2336" t="s">
        <v>227</v>
      </c>
      <c r="D13" s="2302" t="s">
        <v>362</v>
      </c>
      <c r="E13" s="1881">
        <f>E14+E15</f>
        <v>5051</v>
      </c>
      <c r="F13" s="2744">
        <v>150</v>
      </c>
      <c r="G13" s="2745">
        <v>271</v>
      </c>
      <c r="H13" s="2745">
        <v>252</v>
      </c>
      <c r="I13" s="2746">
        <v>263</v>
      </c>
      <c r="J13" s="2730">
        <f>J14+J15</f>
        <v>5421.700000000001</v>
      </c>
      <c r="K13" s="2745">
        <f t="shared" si="1"/>
        <v>107.33914076420513</v>
      </c>
    </row>
    <row r="14" spans="1:11" ht="28.5" customHeight="1">
      <c r="A14" s="572" t="s">
        <v>201</v>
      </c>
      <c r="B14" s="229" t="s">
        <v>171</v>
      </c>
      <c r="C14" s="68" t="s">
        <v>913</v>
      </c>
      <c r="D14" s="2303" t="s">
        <v>362</v>
      </c>
      <c r="E14" s="1882">
        <v>5050</v>
      </c>
      <c r="F14" s="249"/>
      <c r="G14" s="214"/>
      <c r="H14" s="214"/>
      <c r="I14" s="2713"/>
      <c r="J14" s="2741">
        <v>5424.1</v>
      </c>
      <c r="K14" s="2739">
        <f t="shared" si="1"/>
        <v>107.40792079207921</v>
      </c>
    </row>
    <row r="15" spans="1:11" ht="40.5" customHeight="1">
      <c r="A15" s="572" t="s">
        <v>202</v>
      </c>
      <c r="B15" s="229" t="s">
        <v>171</v>
      </c>
      <c r="C15" s="68" t="s">
        <v>914</v>
      </c>
      <c r="D15" s="2303" t="s">
        <v>916</v>
      </c>
      <c r="E15" s="1882">
        <v>1</v>
      </c>
      <c r="F15" s="249"/>
      <c r="G15" s="214"/>
      <c r="H15" s="214"/>
      <c r="I15" s="2713"/>
      <c r="J15" s="2741">
        <v>-2.4</v>
      </c>
      <c r="K15" s="2739">
        <f t="shared" si="1"/>
        <v>-240</v>
      </c>
    </row>
    <row r="16" spans="1:11" ht="27" customHeight="1">
      <c r="A16" s="2276" t="s">
        <v>1052</v>
      </c>
      <c r="B16" s="1063" t="s">
        <v>928</v>
      </c>
      <c r="C16" s="2336" t="s">
        <v>931</v>
      </c>
      <c r="D16" s="2304" t="s">
        <v>930</v>
      </c>
      <c r="E16" s="1883">
        <f>E17</f>
        <v>1754</v>
      </c>
      <c r="F16" s="2731"/>
      <c r="G16" s="2732"/>
      <c r="H16" s="2732"/>
      <c r="I16" s="2733"/>
      <c r="J16" s="2730">
        <f>J17</f>
        <v>1596.9</v>
      </c>
      <c r="K16" s="2745">
        <f t="shared" si="1"/>
        <v>91.04332953249715</v>
      </c>
    </row>
    <row r="17" spans="1:11" ht="29.25" customHeight="1">
      <c r="A17" s="572" t="s">
        <v>201</v>
      </c>
      <c r="B17" s="229" t="s">
        <v>928</v>
      </c>
      <c r="C17" s="68" t="s">
        <v>929</v>
      </c>
      <c r="D17" s="2305" t="s">
        <v>930</v>
      </c>
      <c r="E17" s="1882">
        <v>1754</v>
      </c>
      <c r="F17" s="249"/>
      <c r="G17" s="214"/>
      <c r="H17" s="214"/>
      <c r="I17" s="2713"/>
      <c r="J17" s="2741">
        <v>1596.9</v>
      </c>
      <c r="K17" s="2739">
        <f t="shared" si="1"/>
        <v>91.04332953249715</v>
      </c>
    </row>
    <row r="18" spans="1:11" ht="29.25" customHeight="1">
      <c r="A18" s="2277" t="s">
        <v>268</v>
      </c>
      <c r="B18" s="1847" t="s">
        <v>170</v>
      </c>
      <c r="C18" s="1948" t="s">
        <v>497</v>
      </c>
      <c r="D18" s="2306" t="s">
        <v>306</v>
      </c>
      <c r="E18" s="1881">
        <f>E19+E20</f>
        <v>33333</v>
      </c>
      <c r="F18" s="2731">
        <v>4994</v>
      </c>
      <c r="G18" s="2732">
        <v>5732</v>
      </c>
      <c r="H18" s="2732">
        <v>4822</v>
      </c>
      <c r="I18" s="2733">
        <v>5592</v>
      </c>
      <c r="J18" s="2730">
        <f>J19+J20</f>
        <v>24200.2</v>
      </c>
      <c r="K18" s="2745">
        <f t="shared" si="1"/>
        <v>72.60132601326013</v>
      </c>
    </row>
    <row r="19" spans="1:11" ht="13.5" customHeight="1">
      <c r="A19" s="2278" t="s">
        <v>201</v>
      </c>
      <c r="B19" s="106" t="s">
        <v>171</v>
      </c>
      <c r="C19" s="68" t="s">
        <v>917</v>
      </c>
      <c r="D19" s="2303" t="s">
        <v>306</v>
      </c>
      <c r="E19" s="1884">
        <v>33300</v>
      </c>
      <c r="F19" s="2734"/>
      <c r="G19" s="2735"/>
      <c r="H19" s="2735"/>
      <c r="I19" s="2736"/>
      <c r="J19" s="2741">
        <v>24165.5</v>
      </c>
      <c r="K19" s="2739">
        <f t="shared" si="1"/>
        <v>72.56906906906907</v>
      </c>
    </row>
    <row r="20" spans="1:11" ht="24.75" customHeight="1">
      <c r="A20" s="2279" t="s">
        <v>202</v>
      </c>
      <c r="B20" s="106" t="s">
        <v>171</v>
      </c>
      <c r="C20" s="68" t="s">
        <v>918</v>
      </c>
      <c r="D20" s="2303" t="s">
        <v>919</v>
      </c>
      <c r="E20" s="1884">
        <v>33</v>
      </c>
      <c r="F20" s="2734"/>
      <c r="G20" s="2735"/>
      <c r="H20" s="2735"/>
      <c r="I20" s="2736"/>
      <c r="J20" s="2741">
        <v>34.7</v>
      </c>
      <c r="K20" s="2739">
        <f t="shared" si="1"/>
        <v>105.15151515151516</v>
      </c>
    </row>
    <row r="21" spans="1:11" ht="26.25" customHeight="1">
      <c r="A21" s="2280" t="s">
        <v>679</v>
      </c>
      <c r="B21" s="1847" t="s">
        <v>170</v>
      </c>
      <c r="C21" s="1948" t="s">
        <v>1136</v>
      </c>
      <c r="D21" s="2306" t="s">
        <v>1137</v>
      </c>
      <c r="E21" s="1881">
        <f>E22</f>
        <v>397</v>
      </c>
      <c r="F21" s="2734"/>
      <c r="G21" s="2735"/>
      <c r="H21" s="2735"/>
      <c r="I21" s="2736"/>
      <c r="J21" s="2730">
        <f>J22</f>
        <v>247.8</v>
      </c>
      <c r="K21" s="2745">
        <f t="shared" si="1"/>
        <v>62.41813602015114</v>
      </c>
    </row>
    <row r="22" spans="1:11" ht="37.5" customHeight="1" thickBot="1">
      <c r="A22" s="2279" t="s">
        <v>201</v>
      </c>
      <c r="B22" s="106" t="s">
        <v>171</v>
      </c>
      <c r="C22" s="68" t="s">
        <v>1138</v>
      </c>
      <c r="D22" s="2303" t="s">
        <v>1369</v>
      </c>
      <c r="E22" s="1884">
        <v>397</v>
      </c>
      <c r="F22" s="2734"/>
      <c r="G22" s="2735"/>
      <c r="H22" s="2735"/>
      <c r="I22" s="2736"/>
      <c r="J22" s="2741">
        <v>247.8</v>
      </c>
      <c r="K22" s="2739">
        <f t="shared" si="1"/>
        <v>62.41813602015114</v>
      </c>
    </row>
    <row r="23" spans="1:11" ht="16.5" customHeight="1" thickBot="1">
      <c r="A23" s="2281" t="s">
        <v>804</v>
      </c>
      <c r="B23" s="1868" t="s">
        <v>170</v>
      </c>
      <c r="C23" s="1869" t="s">
        <v>173</v>
      </c>
      <c r="D23" s="2307" t="s">
        <v>307</v>
      </c>
      <c r="E23" s="2754">
        <f>E24</f>
        <v>39399.9</v>
      </c>
      <c r="F23" s="2751">
        <f aca="true" t="shared" si="4" ref="F23:I24">F24</f>
        <v>1108</v>
      </c>
      <c r="G23" s="2752">
        <f t="shared" si="4"/>
        <v>323</v>
      </c>
      <c r="H23" s="2752">
        <f t="shared" si="4"/>
        <v>14238</v>
      </c>
      <c r="I23" s="2753">
        <f t="shared" si="4"/>
        <v>3418</v>
      </c>
      <c r="J23" s="2816">
        <f>J24</f>
        <v>32093.8</v>
      </c>
      <c r="K23" s="2815">
        <f t="shared" si="1"/>
        <v>81.45655192018253</v>
      </c>
    </row>
    <row r="24" spans="1:11" ht="15.75" customHeight="1">
      <c r="A24" s="2282" t="s">
        <v>315</v>
      </c>
      <c r="B24" s="70" t="s">
        <v>170</v>
      </c>
      <c r="C24" s="71" t="s">
        <v>669</v>
      </c>
      <c r="D24" s="72" t="s">
        <v>308</v>
      </c>
      <c r="E24" s="2783">
        <f>E25</f>
        <v>39399.9</v>
      </c>
      <c r="F24" s="2780">
        <f t="shared" si="4"/>
        <v>1108</v>
      </c>
      <c r="G24" s="2781">
        <f t="shared" si="4"/>
        <v>323</v>
      </c>
      <c r="H24" s="2781">
        <f t="shared" si="4"/>
        <v>14238</v>
      </c>
      <c r="I24" s="2782">
        <f t="shared" si="4"/>
        <v>3418</v>
      </c>
      <c r="J24" s="2730">
        <f>J25</f>
        <v>32093.8</v>
      </c>
      <c r="K24" s="2745">
        <f t="shared" si="1"/>
        <v>81.45655192018253</v>
      </c>
    </row>
    <row r="25" spans="1:11" ht="51" customHeight="1" thickBot="1">
      <c r="A25" s="2283" t="s">
        <v>203</v>
      </c>
      <c r="B25" s="20" t="s">
        <v>171</v>
      </c>
      <c r="C25" s="64" t="s">
        <v>498</v>
      </c>
      <c r="D25" s="2308" t="s">
        <v>1370</v>
      </c>
      <c r="E25" s="1892">
        <v>39399.9</v>
      </c>
      <c r="F25" s="2807">
        <v>1108</v>
      </c>
      <c r="G25" s="2808">
        <v>323</v>
      </c>
      <c r="H25" s="2808">
        <v>14238</v>
      </c>
      <c r="I25" s="2809">
        <v>3418</v>
      </c>
      <c r="J25" s="2741">
        <v>32093.8</v>
      </c>
      <c r="K25" s="2739">
        <f t="shared" si="1"/>
        <v>81.45655192018253</v>
      </c>
    </row>
    <row r="26" spans="1:11" ht="25.5" customHeight="1" thickBot="1">
      <c r="A26" s="2274">
        <v>3</v>
      </c>
      <c r="B26" s="65" t="s">
        <v>170</v>
      </c>
      <c r="C26" s="62" t="s">
        <v>125</v>
      </c>
      <c r="D26" s="115" t="s">
        <v>566</v>
      </c>
      <c r="E26" s="1889">
        <f aca="true" t="shared" si="5" ref="E26:I27">E27</f>
        <v>10</v>
      </c>
      <c r="F26" s="2755">
        <f t="shared" si="5"/>
        <v>12</v>
      </c>
      <c r="G26" s="1889">
        <f t="shared" si="5"/>
        <v>20</v>
      </c>
      <c r="H26" s="1889">
        <f t="shared" si="5"/>
        <v>3</v>
      </c>
      <c r="I26" s="2756">
        <f t="shared" si="5"/>
        <v>0</v>
      </c>
      <c r="J26" s="2816">
        <f>J27</f>
        <v>0</v>
      </c>
      <c r="K26" s="2815">
        <f t="shared" si="1"/>
        <v>0</v>
      </c>
    </row>
    <row r="27" spans="1:11" ht="15" customHeight="1">
      <c r="A27" s="2275" t="s">
        <v>270</v>
      </c>
      <c r="B27" s="79" t="s">
        <v>170</v>
      </c>
      <c r="C27" s="76" t="s">
        <v>785</v>
      </c>
      <c r="D27" s="72" t="s">
        <v>786</v>
      </c>
      <c r="E27" s="2737">
        <f t="shared" si="5"/>
        <v>10</v>
      </c>
      <c r="F27" s="2780">
        <f t="shared" si="5"/>
        <v>12</v>
      </c>
      <c r="G27" s="2781">
        <f t="shared" si="5"/>
        <v>20</v>
      </c>
      <c r="H27" s="2781">
        <f t="shared" si="5"/>
        <v>3</v>
      </c>
      <c r="I27" s="2782">
        <f t="shared" si="5"/>
        <v>0</v>
      </c>
      <c r="J27" s="2730">
        <f>J28</f>
        <v>0</v>
      </c>
      <c r="K27" s="2745">
        <f t="shared" si="1"/>
        <v>0</v>
      </c>
    </row>
    <row r="28" spans="1:11" ht="27.75" customHeight="1" thickBot="1">
      <c r="A28" s="2284" t="s">
        <v>211</v>
      </c>
      <c r="B28" s="66" t="s">
        <v>171</v>
      </c>
      <c r="C28" s="87" t="s">
        <v>224</v>
      </c>
      <c r="D28" s="2309" t="s">
        <v>309</v>
      </c>
      <c r="E28" s="1882">
        <v>10</v>
      </c>
      <c r="F28" s="2738">
        <v>12</v>
      </c>
      <c r="G28" s="2739">
        <v>20</v>
      </c>
      <c r="H28" s="2739">
        <v>3</v>
      </c>
      <c r="I28" s="2740">
        <v>0</v>
      </c>
      <c r="J28" s="2741">
        <v>0</v>
      </c>
      <c r="K28" s="2739">
        <f t="shared" si="1"/>
        <v>0</v>
      </c>
    </row>
    <row r="29" spans="1:11" ht="15.75" customHeight="1" thickBot="1">
      <c r="A29" s="2285"/>
      <c r="B29" s="1064"/>
      <c r="C29" s="108"/>
      <c r="D29" s="2310" t="s">
        <v>479</v>
      </c>
      <c r="E29" s="2757">
        <f>E37+E49</f>
        <v>2626.8</v>
      </c>
      <c r="F29" s="2758"/>
      <c r="G29" s="2759"/>
      <c r="H29" s="2759"/>
      <c r="I29" s="2760"/>
      <c r="J29" s="2814">
        <f>J37+J49+J60</f>
        <v>5009.5</v>
      </c>
      <c r="K29" s="2813">
        <f t="shared" si="1"/>
        <v>190.70732450129432</v>
      </c>
    </row>
    <row r="30" spans="1:11" ht="24" customHeight="1" hidden="1" thickBot="1">
      <c r="A30" s="2286" t="s">
        <v>680</v>
      </c>
      <c r="B30" s="35" t="s">
        <v>170</v>
      </c>
      <c r="C30" s="62" t="s">
        <v>131</v>
      </c>
      <c r="D30" s="115" t="s">
        <v>132</v>
      </c>
      <c r="E30" s="1885"/>
      <c r="F30" s="1870">
        <f>F31+F34</f>
        <v>0</v>
      </c>
      <c r="G30" s="97">
        <f>G31+G34</f>
        <v>0</v>
      </c>
      <c r="H30" s="97">
        <f>H31+H34</f>
        <v>0</v>
      </c>
      <c r="I30" s="2706">
        <f>I31+I34</f>
        <v>0</v>
      </c>
      <c r="J30" s="2761"/>
      <c r="K30" s="2762" t="e">
        <f t="shared" si="1"/>
        <v>#DIV/0!</v>
      </c>
    </row>
    <row r="31" spans="1:11" ht="27" customHeight="1" hidden="1">
      <c r="A31" s="2287" t="s">
        <v>681</v>
      </c>
      <c r="B31" s="79" t="s">
        <v>631</v>
      </c>
      <c r="C31" s="76" t="s">
        <v>133</v>
      </c>
      <c r="D31" s="2311" t="s">
        <v>134</v>
      </c>
      <c r="E31" s="2763"/>
      <c r="F31" s="2764">
        <f>F33</f>
        <v>0</v>
      </c>
      <c r="G31" s="2765">
        <f>G33</f>
        <v>0</v>
      </c>
      <c r="H31" s="2765">
        <f>H33</f>
        <v>0</v>
      </c>
      <c r="I31" s="2766">
        <f>I33</f>
        <v>0</v>
      </c>
      <c r="J31" s="2761"/>
      <c r="K31" s="2762" t="e">
        <f t="shared" si="1"/>
        <v>#DIV/0!</v>
      </c>
    </row>
    <row r="32" spans="1:11" ht="63.75" customHeight="1" hidden="1">
      <c r="A32" s="579" t="s">
        <v>106</v>
      </c>
      <c r="B32" s="66" t="s">
        <v>631</v>
      </c>
      <c r="C32" s="87" t="s">
        <v>212</v>
      </c>
      <c r="D32" s="2312" t="s">
        <v>690</v>
      </c>
      <c r="E32" s="2767"/>
      <c r="F32" s="2768">
        <f>F33</f>
        <v>0</v>
      </c>
      <c r="G32" s="2769">
        <f>G33</f>
        <v>0</v>
      </c>
      <c r="H32" s="2769">
        <f>H33</f>
        <v>0</v>
      </c>
      <c r="I32" s="2770">
        <f>I33</f>
        <v>0</v>
      </c>
      <c r="J32" s="2761"/>
      <c r="K32" s="2762" t="e">
        <f t="shared" si="1"/>
        <v>#DIV/0!</v>
      </c>
    </row>
    <row r="33" spans="1:11" ht="50.25" customHeight="1" hidden="1">
      <c r="A33" s="2284" t="s">
        <v>201</v>
      </c>
      <c r="B33" s="66" t="s">
        <v>631</v>
      </c>
      <c r="C33" s="91" t="s">
        <v>135</v>
      </c>
      <c r="D33" s="2313" t="s">
        <v>385</v>
      </c>
      <c r="E33" s="2767"/>
      <c r="F33" s="2771">
        <v>0</v>
      </c>
      <c r="G33" s="2772">
        <v>0</v>
      </c>
      <c r="H33" s="2772">
        <v>0</v>
      </c>
      <c r="I33" s="2773">
        <v>0</v>
      </c>
      <c r="J33" s="2761"/>
      <c r="K33" s="2762" t="e">
        <f t="shared" si="1"/>
        <v>#DIV/0!</v>
      </c>
    </row>
    <row r="34" spans="1:11" ht="18" customHeight="1" hidden="1">
      <c r="A34" s="2288" t="s">
        <v>682</v>
      </c>
      <c r="B34" s="479" t="s">
        <v>631</v>
      </c>
      <c r="C34" s="88" t="s">
        <v>136</v>
      </c>
      <c r="D34" s="2311" t="s">
        <v>137</v>
      </c>
      <c r="E34" s="2774"/>
      <c r="F34" s="2748">
        <f aca="true" t="shared" si="6" ref="F34:I35">F35</f>
        <v>0</v>
      </c>
      <c r="G34" s="2749">
        <f t="shared" si="6"/>
        <v>0</v>
      </c>
      <c r="H34" s="2749">
        <f t="shared" si="6"/>
        <v>0</v>
      </c>
      <c r="I34" s="2750">
        <f t="shared" si="6"/>
        <v>0</v>
      </c>
      <c r="J34" s="2761"/>
      <c r="K34" s="2762" t="e">
        <f t="shared" si="1"/>
        <v>#DIV/0!</v>
      </c>
    </row>
    <row r="35" spans="1:11" ht="41.25" customHeight="1" hidden="1">
      <c r="A35" s="2284" t="s">
        <v>687</v>
      </c>
      <c r="B35" s="66" t="s">
        <v>631</v>
      </c>
      <c r="C35" s="87" t="s">
        <v>138</v>
      </c>
      <c r="D35" s="2314" t="s">
        <v>139</v>
      </c>
      <c r="E35" s="2775"/>
      <c r="F35" s="2768">
        <f t="shared" si="6"/>
        <v>0</v>
      </c>
      <c r="G35" s="2769">
        <f t="shared" si="6"/>
        <v>0</v>
      </c>
      <c r="H35" s="2769">
        <f t="shared" si="6"/>
        <v>0</v>
      </c>
      <c r="I35" s="2770">
        <f t="shared" si="6"/>
        <v>0</v>
      </c>
      <c r="J35" s="2761"/>
      <c r="K35" s="2762" t="e">
        <f t="shared" si="1"/>
        <v>#DIV/0!</v>
      </c>
    </row>
    <row r="36" spans="1:11" ht="50.25" customHeight="1" hidden="1" thickBot="1">
      <c r="A36" s="2289" t="s">
        <v>201</v>
      </c>
      <c r="B36" s="1065" t="s">
        <v>631</v>
      </c>
      <c r="C36" s="89" t="s">
        <v>140</v>
      </c>
      <c r="D36" s="2315" t="s">
        <v>386</v>
      </c>
      <c r="E36" s="2776"/>
      <c r="F36" s="2777">
        <v>0</v>
      </c>
      <c r="G36" s="2778">
        <v>0</v>
      </c>
      <c r="H36" s="2778">
        <v>0</v>
      </c>
      <c r="I36" s="2779">
        <v>0</v>
      </c>
      <c r="J36" s="2761"/>
      <c r="K36" s="2762" t="e">
        <f t="shared" si="1"/>
        <v>#DIV/0!</v>
      </c>
    </row>
    <row r="37" spans="1:11" ht="25.5" customHeight="1" thickBot="1">
      <c r="A37" s="2274" t="s">
        <v>680</v>
      </c>
      <c r="B37" s="95" t="s">
        <v>170</v>
      </c>
      <c r="C37" s="96" t="s">
        <v>852</v>
      </c>
      <c r="D37" s="115" t="s">
        <v>979</v>
      </c>
      <c r="E37" s="1889">
        <f aca="true" t="shared" si="7" ref="E37:J37">E38</f>
        <v>900</v>
      </c>
      <c r="F37" s="1870">
        <f t="shared" si="7"/>
        <v>0</v>
      </c>
      <c r="G37" s="97">
        <f t="shared" si="7"/>
        <v>0</v>
      </c>
      <c r="H37" s="97">
        <f t="shared" si="7"/>
        <v>0</v>
      </c>
      <c r="I37" s="2706">
        <f t="shared" si="7"/>
        <v>0</v>
      </c>
      <c r="J37" s="2816">
        <f t="shared" si="7"/>
        <v>3751.1</v>
      </c>
      <c r="K37" s="2815">
        <f t="shared" si="1"/>
        <v>416.7888888888889</v>
      </c>
    </row>
    <row r="38" spans="1:11" ht="19.5" customHeight="1">
      <c r="A38" s="2290" t="s">
        <v>404</v>
      </c>
      <c r="B38" s="109" t="s">
        <v>170</v>
      </c>
      <c r="C38" s="110" t="s">
        <v>1000</v>
      </c>
      <c r="D38" s="2311" t="s">
        <v>1070</v>
      </c>
      <c r="E38" s="2784">
        <f>E39</f>
        <v>900</v>
      </c>
      <c r="F38" s="2785">
        <f>F40</f>
        <v>0</v>
      </c>
      <c r="G38" s="2786">
        <f>G40</f>
        <v>0</v>
      </c>
      <c r="H38" s="2786">
        <f>H40</f>
        <v>0</v>
      </c>
      <c r="I38" s="2787">
        <f>I40</f>
        <v>0</v>
      </c>
      <c r="J38" s="2730">
        <f>J39</f>
        <v>3751.1</v>
      </c>
      <c r="K38" s="2745">
        <f>J38/E38*100</f>
        <v>416.7888888888889</v>
      </c>
    </row>
    <row r="39" spans="1:11" ht="19.5" customHeight="1">
      <c r="A39" s="579" t="s">
        <v>434</v>
      </c>
      <c r="B39" s="79" t="s">
        <v>920</v>
      </c>
      <c r="C39" s="76" t="s">
        <v>1072</v>
      </c>
      <c r="D39" s="2311" t="s">
        <v>1073</v>
      </c>
      <c r="E39" s="2784">
        <f>E40</f>
        <v>900</v>
      </c>
      <c r="F39" s="2785"/>
      <c r="G39" s="2786"/>
      <c r="H39" s="2786"/>
      <c r="I39" s="2787"/>
      <c r="J39" s="2730">
        <f>J40</f>
        <v>3751.1</v>
      </c>
      <c r="K39" s="2745">
        <f t="shared" si="1"/>
        <v>416.7888888888889</v>
      </c>
    </row>
    <row r="40" spans="1:11" ht="26.25" customHeight="1">
      <c r="A40" s="581" t="s">
        <v>435</v>
      </c>
      <c r="B40" s="90" t="s">
        <v>920</v>
      </c>
      <c r="C40" s="91" t="s">
        <v>1001</v>
      </c>
      <c r="D40" s="2313" t="s">
        <v>1375</v>
      </c>
      <c r="E40" s="1890">
        <f>SUM(E41:E42)</f>
        <v>900</v>
      </c>
      <c r="F40" s="1871">
        <f>SUM(F41:F42)</f>
        <v>0</v>
      </c>
      <c r="G40" s="78">
        <f>SUM(G41:G42)</f>
        <v>0</v>
      </c>
      <c r="H40" s="78">
        <f>SUM(H41:H42)</f>
        <v>0</v>
      </c>
      <c r="I40" s="2710">
        <f>SUM(I41:I42)</f>
        <v>0</v>
      </c>
      <c r="J40" s="2741">
        <f>J41</f>
        <v>3751.1</v>
      </c>
      <c r="K40" s="2739">
        <f t="shared" si="1"/>
        <v>416.7888888888889</v>
      </c>
    </row>
    <row r="41" spans="1:11" ht="61.5" customHeight="1" thickBot="1">
      <c r="A41" s="2291" t="s">
        <v>201</v>
      </c>
      <c r="B41" s="90" t="s">
        <v>920</v>
      </c>
      <c r="C41" s="91" t="s">
        <v>1002</v>
      </c>
      <c r="D41" s="2316" t="s">
        <v>567</v>
      </c>
      <c r="E41" s="1890">
        <v>900</v>
      </c>
      <c r="F41" s="1871">
        <v>0</v>
      </c>
      <c r="G41" s="78">
        <v>0</v>
      </c>
      <c r="H41" s="78">
        <v>0</v>
      </c>
      <c r="I41" s="2710">
        <v>0</v>
      </c>
      <c r="J41" s="2741">
        <v>3751.1</v>
      </c>
      <c r="K41" s="2739">
        <f t="shared" si="1"/>
        <v>416.7888888888889</v>
      </c>
    </row>
    <row r="42" spans="1:11" ht="51" customHeight="1" hidden="1" thickBot="1">
      <c r="A42" s="2289" t="s">
        <v>202</v>
      </c>
      <c r="B42" s="111" t="s">
        <v>170</v>
      </c>
      <c r="C42" s="112" t="s">
        <v>700</v>
      </c>
      <c r="D42" s="2316" t="s">
        <v>699</v>
      </c>
      <c r="E42" s="1887">
        <f>кв!D52</f>
        <v>0</v>
      </c>
      <c r="F42" s="81">
        <v>0</v>
      </c>
      <c r="G42" s="80">
        <v>0</v>
      </c>
      <c r="H42" s="80">
        <v>0</v>
      </c>
      <c r="I42" s="2709">
        <v>0</v>
      </c>
      <c r="J42" s="2729"/>
      <c r="K42" s="2747" t="e">
        <f t="shared" si="1"/>
        <v>#DIV/0!</v>
      </c>
    </row>
    <row r="43" spans="1:11" ht="27" customHeight="1" hidden="1" thickBot="1">
      <c r="A43" s="2286" t="s">
        <v>327</v>
      </c>
      <c r="B43" s="35" t="s">
        <v>170</v>
      </c>
      <c r="C43" s="62" t="s">
        <v>126</v>
      </c>
      <c r="D43" s="115" t="s">
        <v>127</v>
      </c>
      <c r="E43" s="1885"/>
      <c r="F43" s="1870">
        <f>F44</f>
        <v>0</v>
      </c>
      <c r="G43" s="97">
        <f>G44</f>
        <v>0</v>
      </c>
      <c r="H43" s="97">
        <f>H44</f>
        <v>0</v>
      </c>
      <c r="I43" s="2706">
        <f>I44</f>
        <v>0</v>
      </c>
      <c r="J43" s="2729"/>
      <c r="K43" s="2747" t="e">
        <f t="shared" si="1"/>
        <v>#DIV/0!</v>
      </c>
    </row>
    <row r="44" spans="1:11" ht="50.25" customHeight="1" hidden="1">
      <c r="A44" s="2290" t="s">
        <v>225</v>
      </c>
      <c r="B44" s="79" t="s">
        <v>631</v>
      </c>
      <c r="C44" s="76" t="s">
        <v>128</v>
      </c>
      <c r="D44" s="2317" t="s">
        <v>330</v>
      </c>
      <c r="E44" s="1888"/>
      <c r="F44" s="82">
        <f>SUM(F45:F46)</f>
        <v>0</v>
      </c>
      <c r="G44" s="77">
        <f>SUM(G45:G46)</f>
        <v>0</v>
      </c>
      <c r="H44" s="77">
        <f>SUM(H45:H46)</f>
        <v>0</v>
      </c>
      <c r="I44" s="2707">
        <f>SUM(I45:I46)</f>
        <v>0</v>
      </c>
      <c r="J44" s="2729"/>
      <c r="K44" s="2747" t="e">
        <f t="shared" si="1"/>
        <v>#DIV/0!</v>
      </c>
    </row>
    <row r="45" spans="1:11" ht="80.25" customHeight="1" hidden="1">
      <c r="A45" s="579" t="s">
        <v>99</v>
      </c>
      <c r="B45" s="66" t="s">
        <v>631</v>
      </c>
      <c r="C45" s="87" t="s">
        <v>129</v>
      </c>
      <c r="D45" s="2312" t="s">
        <v>689</v>
      </c>
      <c r="E45" s="1886"/>
      <c r="F45" s="1872">
        <v>0</v>
      </c>
      <c r="G45" s="98">
        <v>0</v>
      </c>
      <c r="H45" s="98">
        <v>0</v>
      </c>
      <c r="I45" s="2711">
        <v>0</v>
      </c>
      <c r="J45" s="2729"/>
      <c r="K45" s="2747" t="e">
        <f t="shared" si="1"/>
        <v>#DIV/0!</v>
      </c>
    </row>
    <row r="46" spans="1:11" ht="77.25" customHeight="1" hidden="1">
      <c r="A46" s="579" t="s">
        <v>226</v>
      </c>
      <c r="B46" s="66" t="s">
        <v>631</v>
      </c>
      <c r="C46" s="87" t="s">
        <v>130</v>
      </c>
      <c r="D46" s="2312" t="s">
        <v>370</v>
      </c>
      <c r="E46" s="1886"/>
      <c r="F46" s="1872">
        <v>0</v>
      </c>
      <c r="G46" s="98">
        <v>0</v>
      </c>
      <c r="H46" s="98">
        <v>0</v>
      </c>
      <c r="I46" s="2711">
        <v>0</v>
      </c>
      <c r="J46" s="2729"/>
      <c r="K46" s="2747" t="e">
        <f t="shared" si="1"/>
        <v>#DIV/0!</v>
      </c>
    </row>
    <row r="47" spans="1:11" ht="17.25" customHeight="1" hidden="1">
      <c r="A47" s="2275" t="s">
        <v>236</v>
      </c>
      <c r="B47" s="479" t="s">
        <v>631</v>
      </c>
      <c r="C47" s="1066" t="s">
        <v>237</v>
      </c>
      <c r="D47" s="2318" t="s">
        <v>238</v>
      </c>
      <c r="E47" s="1887"/>
      <c r="F47" s="1871">
        <f>F48</f>
        <v>0</v>
      </c>
      <c r="G47" s="78">
        <f>G48</f>
        <v>0</v>
      </c>
      <c r="H47" s="78">
        <f>H48</f>
        <v>0</v>
      </c>
      <c r="I47" s="2710">
        <f>I48</f>
        <v>0</v>
      </c>
      <c r="J47" s="2729"/>
      <c r="K47" s="2747" t="e">
        <f t="shared" si="1"/>
        <v>#DIV/0!</v>
      </c>
    </row>
    <row r="48" spans="1:11" ht="39.75" customHeight="1" hidden="1" thickBot="1">
      <c r="A48" s="2292" t="s">
        <v>6</v>
      </c>
      <c r="B48" s="1067" t="s">
        <v>631</v>
      </c>
      <c r="C48" s="1068" t="s">
        <v>239</v>
      </c>
      <c r="D48" s="2319" t="s">
        <v>331</v>
      </c>
      <c r="E48" s="1891"/>
      <c r="F48" s="1873">
        <v>0</v>
      </c>
      <c r="G48" s="101">
        <v>0</v>
      </c>
      <c r="H48" s="101">
        <v>0</v>
      </c>
      <c r="I48" s="2712">
        <v>0</v>
      </c>
      <c r="J48" s="2729"/>
      <c r="K48" s="2747" t="e">
        <f t="shared" si="1"/>
        <v>#DIV/0!</v>
      </c>
    </row>
    <row r="49" spans="1:11" ht="18" customHeight="1" thickBot="1">
      <c r="A49" s="2274" t="s">
        <v>326</v>
      </c>
      <c r="B49" s="35" t="s">
        <v>170</v>
      </c>
      <c r="C49" s="62" t="s">
        <v>659</v>
      </c>
      <c r="D49" s="2320" t="s">
        <v>310</v>
      </c>
      <c r="E49" s="1889">
        <f>E50+E51+E53</f>
        <v>1726.8</v>
      </c>
      <c r="F49" s="2751" t="e">
        <f>F50+#REF!+#REF!+#REF!+F53</f>
        <v>#REF!</v>
      </c>
      <c r="G49" s="2752" t="e">
        <f>G50+#REF!+#REF!+#REF!+G53</f>
        <v>#REF!</v>
      </c>
      <c r="H49" s="2752" t="e">
        <f>H50+#REF!+#REF!+#REF!+H53</f>
        <v>#REF!</v>
      </c>
      <c r="I49" s="2753" t="e">
        <f>I50+#REF!+#REF!+#REF!+I53</f>
        <v>#REF!</v>
      </c>
      <c r="J49" s="2816">
        <f>J50+J51+J53</f>
        <v>1256.7</v>
      </c>
      <c r="K49" s="2815">
        <f t="shared" si="1"/>
        <v>72.77623349548298</v>
      </c>
    </row>
    <row r="50" spans="1:11" ht="53.25" customHeight="1">
      <c r="A50" s="2290" t="s">
        <v>721</v>
      </c>
      <c r="B50" s="250" t="s">
        <v>171</v>
      </c>
      <c r="C50" s="118" t="s">
        <v>660</v>
      </c>
      <c r="D50" s="2321" t="s">
        <v>980</v>
      </c>
      <c r="E50" s="2804">
        <v>277</v>
      </c>
      <c r="F50" s="2780">
        <v>225</v>
      </c>
      <c r="G50" s="2781">
        <v>306</v>
      </c>
      <c r="H50" s="2781">
        <v>284</v>
      </c>
      <c r="I50" s="2782">
        <v>183</v>
      </c>
      <c r="J50" s="2730">
        <v>271</v>
      </c>
      <c r="K50" s="2745">
        <f t="shared" si="1"/>
        <v>97.83393501805054</v>
      </c>
    </row>
    <row r="51" spans="1:11" s="52" customFormat="1" ht="40.5" customHeight="1">
      <c r="A51" s="2280" t="s">
        <v>12</v>
      </c>
      <c r="B51" s="2270" t="s">
        <v>170</v>
      </c>
      <c r="C51" s="2271" t="str">
        <f>кв!B65</f>
        <v> 1 16 33030 00 0000 140</v>
      </c>
      <c r="D51" s="2322" t="str">
        <f>кв!C65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v>
      </c>
      <c r="E51" s="2805">
        <f>E52</f>
        <v>1</v>
      </c>
      <c r="F51" s="2788"/>
      <c r="G51" s="2789"/>
      <c r="H51" s="2789"/>
      <c r="I51" s="2790"/>
      <c r="J51" s="2730">
        <f>J52</f>
        <v>0</v>
      </c>
      <c r="K51" s="2745">
        <f t="shared" si="1"/>
        <v>0</v>
      </c>
    </row>
    <row r="52" spans="1:11" s="52" customFormat="1" ht="67.5" customHeight="1">
      <c r="A52" s="2279" t="s">
        <v>201</v>
      </c>
      <c r="B52" s="2260" t="s">
        <v>1426</v>
      </c>
      <c r="C52" s="2261" t="str">
        <f>кв!B66</f>
        <v> 1 16 33030 03 0000 140</v>
      </c>
      <c r="D52" s="2680" t="str">
        <f>кв!C66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v>
      </c>
      <c r="E52" s="2803">
        <v>1</v>
      </c>
      <c r="F52" s="2798"/>
      <c r="G52" s="2799"/>
      <c r="H52" s="2799"/>
      <c r="I52" s="2800"/>
      <c r="J52" s="2741">
        <v>0</v>
      </c>
      <c r="K52" s="2739">
        <f t="shared" si="1"/>
        <v>0</v>
      </c>
    </row>
    <row r="53" spans="1:11" ht="25.5" customHeight="1">
      <c r="A53" s="2293" t="s">
        <v>903</v>
      </c>
      <c r="B53" s="73" t="s">
        <v>170</v>
      </c>
      <c r="C53" s="74" t="s">
        <v>233</v>
      </c>
      <c r="D53" s="2323" t="s">
        <v>313</v>
      </c>
      <c r="E53" s="2806">
        <f>E54</f>
        <v>1448.8</v>
      </c>
      <c r="F53" s="2791">
        <f>F54</f>
        <v>34</v>
      </c>
      <c r="G53" s="2792">
        <f>G54</f>
        <v>531</v>
      </c>
      <c r="H53" s="2792">
        <f>H54</f>
        <v>772</v>
      </c>
      <c r="I53" s="2793">
        <f>I54</f>
        <v>451.2</v>
      </c>
      <c r="J53" s="2730">
        <f>J54</f>
        <v>985.7</v>
      </c>
      <c r="K53" s="2745">
        <f t="shared" si="1"/>
        <v>68.03561568194368</v>
      </c>
    </row>
    <row r="54" spans="1:11" ht="53.25" customHeight="1">
      <c r="A54" s="2294" t="s">
        <v>904</v>
      </c>
      <c r="B54" s="67" t="s">
        <v>170</v>
      </c>
      <c r="C54" s="63" t="s">
        <v>367</v>
      </c>
      <c r="D54" s="2309" t="str">
        <f>кв!C68</f>
        <v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v>
      </c>
      <c r="E54" s="1882">
        <f>SUM(E55:E59)</f>
        <v>1448.8</v>
      </c>
      <c r="F54" s="2801">
        <f>SUM(F55:F59)</f>
        <v>34</v>
      </c>
      <c r="G54" s="2802">
        <f>SUM(G55:G59)</f>
        <v>531</v>
      </c>
      <c r="H54" s="2802">
        <f>SUM(H55:H59)</f>
        <v>772</v>
      </c>
      <c r="I54" s="2810">
        <f>SUM(I55:I59)</f>
        <v>451.2</v>
      </c>
      <c r="J54" s="2741">
        <f>J55+J56+J57+J58+J59</f>
        <v>985.7</v>
      </c>
      <c r="K54" s="2739">
        <f t="shared" si="1"/>
        <v>68.03561568194368</v>
      </c>
    </row>
    <row r="55" spans="1:11" ht="50.25" customHeight="1">
      <c r="A55" s="583" t="s">
        <v>201</v>
      </c>
      <c r="B55" s="203" t="s">
        <v>15</v>
      </c>
      <c r="C55" s="68" t="s">
        <v>339</v>
      </c>
      <c r="D55" s="2324" t="s">
        <v>981</v>
      </c>
      <c r="E55" s="1892">
        <v>1100</v>
      </c>
      <c r="F55" s="249">
        <v>23</v>
      </c>
      <c r="G55" s="214">
        <v>500</v>
      </c>
      <c r="H55" s="214">
        <v>760</v>
      </c>
      <c r="I55" s="2713">
        <v>450</v>
      </c>
      <c r="J55" s="2741">
        <v>395</v>
      </c>
      <c r="K55" s="2739">
        <f t="shared" si="1"/>
        <v>35.90909090909091</v>
      </c>
    </row>
    <row r="56" spans="1:11" ht="50.25" customHeight="1">
      <c r="A56" s="583" t="s">
        <v>202</v>
      </c>
      <c r="B56" s="203" t="s">
        <v>71</v>
      </c>
      <c r="C56" s="68" t="s">
        <v>339</v>
      </c>
      <c r="D56" s="2324" t="s">
        <v>981</v>
      </c>
      <c r="E56" s="1892">
        <v>84</v>
      </c>
      <c r="F56" s="249"/>
      <c r="G56" s="214"/>
      <c r="H56" s="214"/>
      <c r="I56" s="2713"/>
      <c r="J56" s="2741">
        <v>130</v>
      </c>
      <c r="K56" s="2739">
        <f t="shared" si="1"/>
        <v>154.76190476190476</v>
      </c>
    </row>
    <row r="57" spans="1:11" ht="48.75" customHeight="1">
      <c r="A57" s="583" t="s">
        <v>207</v>
      </c>
      <c r="B57" s="203" t="s">
        <v>72</v>
      </c>
      <c r="C57" s="68" t="s">
        <v>339</v>
      </c>
      <c r="D57" s="2324" t="s">
        <v>981</v>
      </c>
      <c r="E57" s="1892">
        <v>10</v>
      </c>
      <c r="F57" s="249"/>
      <c r="G57" s="214"/>
      <c r="H57" s="214"/>
      <c r="I57" s="2713"/>
      <c r="J57" s="2741">
        <v>150</v>
      </c>
      <c r="K57" s="2739">
        <f t="shared" si="1"/>
        <v>1500</v>
      </c>
    </row>
    <row r="58" spans="1:11" ht="50.25" customHeight="1">
      <c r="A58" s="583" t="s">
        <v>209</v>
      </c>
      <c r="B58" s="106" t="s">
        <v>883</v>
      </c>
      <c r="C58" s="68" t="s">
        <v>339</v>
      </c>
      <c r="D58" s="2324" t="s">
        <v>981</v>
      </c>
      <c r="E58" s="1892">
        <v>218</v>
      </c>
      <c r="F58" s="249"/>
      <c r="G58" s="214"/>
      <c r="H58" s="214"/>
      <c r="I58" s="2713"/>
      <c r="J58" s="2741">
        <v>277.7</v>
      </c>
      <c r="K58" s="2739">
        <f t="shared" si="1"/>
        <v>127.38532110091742</v>
      </c>
    </row>
    <row r="59" spans="1:11" ht="51.75" customHeight="1" thickBot="1">
      <c r="A59" s="583" t="s">
        <v>210</v>
      </c>
      <c r="B59" s="251" t="s">
        <v>883</v>
      </c>
      <c r="C59" s="252" t="s">
        <v>341</v>
      </c>
      <c r="D59" s="2324" t="s">
        <v>982</v>
      </c>
      <c r="E59" s="1893">
        <v>36.8</v>
      </c>
      <c r="F59" s="249">
        <v>11</v>
      </c>
      <c r="G59" s="214">
        <v>31</v>
      </c>
      <c r="H59" s="214">
        <v>12</v>
      </c>
      <c r="I59" s="2713">
        <v>1.2</v>
      </c>
      <c r="J59" s="3128">
        <v>33</v>
      </c>
      <c r="K59" s="214">
        <f>J59/E59*100</f>
        <v>89.67391304347827</v>
      </c>
    </row>
    <row r="60" spans="1:11" ht="29.25" thickBot="1">
      <c r="A60" s="2274" t="s">
        <v>327</v>
      </c>
      <c r="B60" s="35" t="s">
        <v>170</v>
      </c>
      <c r="C60" s="62" t="s">
        <v>867</v>
      </c>
      <c r="D60" s="115" t="s">
        <v>868</v>
      </c>
      <c r="E60" s="1894">
        <f>E61+E63</f>
        <v>0</v>
      </c>
      <c r="F60" s="1874" t="e">
        <f>F63</f>
        <v>#REF!</v>
      </c>
      <c r="G60" s="59" t="e">
        <f>G63</f>
        <v>#REF!</v>
      </c>
      <c r="H60" s="59" t="e">
        <f>H63</f>
        <v>#REF!</v>
      </c>
      <c r="I60" s="2714" t="e">
        <f>I63</f>
        <v>#REF!</v>
      </c>
      <c r="J60" s="3130">
        <f>J61</f>
        <v>1.7</v>
      </c>
      <c r="K60" s="3132">
        <v>0</v>
      </c>
    </row>
    <row r="61" spans="1:11" ht="12.75">
      <c r="A61" s="2290" t="s">
        <v>722</v>
      </c>
      <c r="B61" s="109" t="s">
        <v>631</v>
      </c>
      <c r="C61" s="110" t="s">
        <v>684</v>
      </c>
      <c r="D61" s="2317" t="s">
        <v>685</v>
      </c>
      <c r="E61" s="1888">
        <f>E62</f>
        <v>0</v>
      </c>
      <c r="F61" s="82">
        <f>F62</f>
        <v>0</v>
      </c>
      <c r="G61" s="77">
        <f>G62</f>
        <v>0</v>
      </c>
      <c r="H61" s="77">
        <f>H62</f>
        <v>0</v>
      </c>
      <c r="I61" s="2707">
        <f>I62</f>
        <v>0</v>
      </c>
      <c r="J61" s="3129">
        <f>J62</f>
        <v>1.7</v>
      </c>
      <c r="K61" s="3131">
        <v>0</v>
      </c>
    </row>
    <row r="62" spans="1:11" ht="38.25">
      <c r="A62" s="579" t="s">
        <v>99</v>
      </c>
      <c r="B62" s="107" t="s">
        <v>631</v>
      </c>
      <c r="C62" s="1069" t="s">
        <v>686</v>
      </c>
      <c r="D62" s="2314" t="s">
        <v>717</v>
      </c>
      <c r="E62" s="1886">
        <f>кв!D77</f>
        <v>0</v>
      </c>
      <c r="F62" s="100">
        <v>0</v>
      </c>
      <c r="G62" s="99">
        <v>0</v>
      </c>
      <c r="H62" s="99">
        <v>0</v>
      </c>
      <c r="I62" s="2708">
        <v>0</v>
      </c>
      <c r="J62" s="2729">
        <v>1.7</v>
      </c>
      <c r="K62" s="2739">
        <v>0</v>
      </c>
    </row>
    <row r="63" spans="1:11" ht="1.5" customHeight="1" thickBot="1">
      <c r="A63" s="2293" t="s">
        <v>782</v>
      </c>
      <c r="B63" s="73" t="s">
        <v>170</v>
      </c>
      <c r="C63" s="74" t="s">
        <v>865</v>
      </c>
      <c r="D63" s="2323" t="s">
        <v>866</v>
      </c>
      <c r="E63" s="1895">
        <f>E64</f>
        <v>0</v>
      </c>
      <c r="F63" s="1875" t="e">
        <f>#REF!</f>
        <v>#REF!</v>
      </c>
      <c r="G63" s="75" t="e">
        <f>#REF!</f>
        <v>#REF!</v>
      </c>
      <c r="H63" s="75" t="e">
        <f>#REF!</f>
        <v>#REF!</v>
      </c>
      <c r="I63" s="2715" t="e">
        <f>#REF!</f>
        <v>#REF!</v>
      </c>
      <c r="J63" s="2729"/>
      <c r="K63" s="2747" t="e">
        <f t="shared" si="1"/>
        <v>#DIV/0!</v>
      </c>
    </row>
    <row r="64" spans="1:11" ht="39" hidden="1" thickBot="1">
      <c r="A64" s="572" t="s">
        <v>6</v>
      </c>
      <c r="B64" s="67" t="s">
        <v>631</v>
      </c>
      <c r="C64" s="63" t="s">
        <v>369</v>
      </c>
      <c r="D64" s="2309" t="s">
        <v>372</v>
      </c>
      <c r="E64" s="1896">
        <v>0</v>
      </c>
      <c r="F64" s="1876" t="e">
        <f>#REF!</f>
        <v>#REF!</v>
      </c>
      <c r="G64" s="94" t="e">
        <f>#REF!</f>
        <v>#REF!</v>
      </c>
      <c r="H64" s="94" t="e">
        <f>#REF!</f>
        <v>#REF!</v>
      </c>
      <c r="I64" s="2716" t="e">
        <f>#REF!</f>
        <v>#REF!</v>
      </c>
      <c r="J64" s="2729"/>
      <c r="K64" s="2747" t="e">
        <f t="shared" si="1"/>
        <v>#DIV/0!</v>
      </c>
    </row>
    <row r="65" spans="1:11" ht="36.75" hidden="1" thickBot="1">
      <c r="A65" s="2286" t="s">
        <v>390</v>
      </c>
      <c r="B65" s="69" t="s">
        <v>170</v>
      </c>
      <c r="C65" s="62" t="s">
        <v>850</v>
      </c>
      <c r="D65" s="115" t="s">
        <v>363</v>
      </c>
      <c r="E65" s="1894"/>
      <c r="F65" s="1874">
        <f aca="true" t="shared" si="8" ref="F65:I66">F66</f>
        <v>0</v>
      </c>
      <c r="G65" s="59">
        <f t="shared" si="8"/>
        <v>0</v>
      </c>
      <c r="H65" s="59">
        <f t="shared" si="8"/>
        <v>0</v>
      </c>
      <c r="I65" s="2714">
        <f t="shared" si="8"/>
        <v>0</v>
      </c>
      <c r="J65" s="2729"/>
      <c r="K65" s="2747" t="e">
        <f t="shared" si="1"/>
        <v>#DIV/0!</v>
      </c>
    </row>
    <row r="66" spans="1:11" ht="36.75" hidden="1" thickBot="1">
      <c r="A66" s="2288" t="s">
        <v>101</v>
      </c>
      <c r="B66" s="102" t="s">
        <v>631</v>
      </c>
      <c r="C66" s="103" t="s">
        <v>364</v>
      </c>
      <c r="D66" s="2325" t="s">
        <v>365</v>
      </c>
      <c r="E66" s="1897"/>
      <c r="F66" s="1877">
        <f t="shared" si="8"/>
        <v>0</v>
      </c>
      <c r="G66" s="104">
        <f t="shared" si="8"/>
        <v>0</v>
      </c>
      <c r="H66" s="104">
        <f t="shared" si="8"/>
        <v>0</v>
      </c>
      <c r="I66" s="2717">
        <f t="shared" si="8"/>
        <v>0</v>
      </c>
      <c r="J66" s="2729"/>
      <c r="K66" s="2747" t="e">
        <f aca="true" t="shared" si="9" ref="K66:K84">J66/E66*100</f>
        <v>#DIV/0!</v>
      </c>
    </row>
    <row r="67" spans="1:11" ht="51.75" hidden="1" thickBot="1">
      <c r="A67" s="2295" t="s">
        <v>102</v>
      </c>
      <c r="B67" s="93" t="s">
        <v>631</v>
      </c>
      <c r="C67" s="64" t="s">
        <v>526</v>
      </c>
      <c r="D67" s="2308" t="s">
        <v>366</v>
      </c>
      <c r="E67" s="1898"/>
      <c r="F67" s="1878">
        <v>0</v>
      </c>
      <c r="G67" s="105">
        <v>0</v>
      </c>
      <c r="H67" s="105">
        <v>0</v>
      </c>
      <c r="I67" s="2718">
        <v>0</v>
      </c>
      <c r="J67" s="2729"/>
      <c r="K67" s="2747" t="e">
        <f t="shared" si="9"/>
        <v>#DIV/0!</v>
      </c>
    </row>
    <row r="68" spans="1:11" ht="20.25" customHeight="1" thickBot="1">
      <c r="A68" s="2296" t="s">
        <v>674</v>
      </c>
      <c r="B68" s="19" t="s">
        <v>170</v>
      </c>
      <c r="C68" s="61" t="s">
        <v>661</v>
      </c>
      <c r="D68" s="2326" t="s">
        <v>314</v>
      </c>
      <c r="E68" s="1899">
        <f aca="true" t="shared" si="10" ref="E68:J68">E69</f>
        <v>15947.3</v>
      </c>
      <c r="F68" s="1879">
        <f t="shared" si="10"/>
        <v>2178.2</v>
      </c>
      <c r="G68" s="206">
        <f t="shared" si="10"/>
        <v>3707.1</v>
      </c>
      <c r="H68" s="206">
        <f t="shared" si="10"/>
        <v>5722.2</v>
      </c>
      <c r="I68" s="2719">
        <f t="shared" si="10"/>
        <v>2222.3</v>
      </c>
      <c r="J68" s="2812">
        <f t="shared" si="10"/>
        <v>12260.5</v>
      </c>
      <c r="K68" s="2811">
        <f t="shared" si="9"/>
        <v>76.88135295629982</v>
      </c>
    </row>
    <row r="69" spans="1:11" ht="24.75" customHeight="1">
      <c r="A69" s="2297" t="s">
        <v>112</v>
      </c>
      <c r="B69" s="204" t="s">
        <v>168</v>
      </c>
      <c r="C69" s="96" t="s">
        <v>662</v>
      </c>
      <c r="D69" s="2327" t="s">
        <v>374</v>
      </c>
      <c r="E69" s="207">
        <f>E70+E73</f>
        <v>15947.3</v>
      </c>
      <c r="F69" s="220">
        <f>F70+F73</f>
        <v>2178.2</v>
      </c>
      <c r="G69" s="207">
        <f>G70+G73</f>
        <v>3707.1</v>
      </c>
      <c r="H69" s="207">
        <f>H70+H73</f>
        <v>5722.2</v>
      </c>
      <c r="I69" s="2720">
        <f>I70+I73</f>
        <v>2222.3</v>
      </c>
      <c r="J69" s="2816">
        <f>J73</f>
        <v>12260.5</v>
      </c>
      <c r="K69" s="2815">
        <f t="shared" si="9"/>
        <v>76.88135295629982</v>
      </c>
    </row>
    <row r="70" spans="1:11" ht="24.75" customHeight="1" hidden="1">
      <c r="A70" s="2293" t="s">
        <v>280</v>
      </c>
      <c r="B70" s="248" t="s">
        <v>170</v>
      </c>
      <c r="C70" s="227" t="s">
        <v>400</v>
      </c>
      <c r="D70" s="2328" t="s">
        <v>401</v>
      </c>
      <c r="E70" s="1900">
        <f>E71</f>
        <v>0</v>
      </c>
      <c r="F70" s="221">
        <f aca="true" t="shared" si="11" ref="F70:I71">F71</f>
        <v>0</v>
      </c>
      <c r="G70" s="211">
        <f t="shared" si="11"/>
        <v>1500</v>
      </c>
      <c r="H70" s="211">
        <f t="shared" si="11"/>
        <v>3500</v>
      </c>
      <c r="I70" s="2721">
        <f t="shared" si="11"/>
        <v>0</v>
      </c>
      <c r="J70" s="2816"/>
      <c r="K70" s="2815" t="e">
        <f t="shared" si="9"/>
        <v>#DIV/0!</v>
      </c>
    </row>
    <row r="71" spans="1:11" ht="15.75" customHeight="1" hidden="1">
      <c r="A71" s="572" t="s">
        <v>281</v>
      </c>
      <c r="B71" s="232" t="s">
        <v>170</v>
      </c>
      <c r="C71" s="228" t="s">
        <v>396</v>
      </c>
      <c r="D71" s="2329" t="s">
        <v>397</v>
      </c>
      <c r="E71" s="1900">
        <f>E72</f>
        <v>0</v>
      </c>
      <c r="F71" s="221">
        <f t="shared" si="11"/>
        <v>0</v>
      </c>
      <c r="G71" s="211">
        <f t="shared" si="11"/>
        <v>1500</v>
      </c>
      <c r="H71" s="211">
        <f t="shared" si="11"/>
        <v>3500</v>
      </c>
      <c r="I71" s="2721">
        <f t="shared" si="11"/>
        <v>0</v>
      </c>
      <c r="J71" s="2816"/>
      <c r="K71" s="2815" t="e">
        <f t="shared" si="9"/>
        <v>#DIV/0!</v>
      </c>
    </row>
    <row r="72" spans="1:11" ht="37.5" customHeight="1" hidden="1">
      <c r="A72" s="572" t="s">
        <v>282</v>
      </c>
      <c r="B72" s="229" t="s">
        <v>631</v>
      </c>
      <c r="C72" s="63" t="s">
        <v>398</v>
      </c>
      <c r="D72" s="2303" t="s">
        <v>399</v>
      </c>
      <c r="E72" s="1900">
        <f>кв!D88</f>
        <v>0</v>
      </c>
      <c r="F72" s="221">
        <v>0</v>
      </c>
      <c r="G72" s="211">
        <v>1500</v>
      </c>
      <c r="H72" s="211">
        <v>3500</v>
      </c>
      <c r="I72" s="2721">
        <v>0</v>
      </c>
      <c r="J72" s="2816"/>
      <c r="K72" s="2815" t="e">
        <f t="shared" si="9"/>
        <v>#DIV/0!</v>
      </c>
    </row>
    <row r="73" spans="1:11" ht="27" customHeight="1">
      <c r="A73" s="2298" t="s">
        <v>563</v>
      </c>
      <c r="B73" s="230" t="s">
        <v>170</v>
      </c>
      <c r="C73" s="231" t="s">
        <v>375</v>
      </c>
      <c r="D73" s="2330" t="s">
        <v>376</v>
      </c>
      <c r="E73" s="1901">
        <f>E74+E78</f>
        <v>15947.3</v>
      </c>
      <c r="F73" s="222">
        <f>F74+F78+F82</f>
        <v>2178.2</v>
      </c>
      <c r="G73" s="216">
        <f>G74+G78+G82</f>
        <v>2207.1</v>
      </c>
      <c r="H73" s="216">
        <f>H74+H78+H82</f>
        <v>2222.2</v>
      </c>
      <c r="I73" s="2722">
        <f>I74+I78+I82</f>
        <v>2222.3</v>
      </c>
      <c r="J73" s="2816">
        <f>J74+J78</f>
        <v>12260.5</v>
      </c>
      <c r="K73" s="2815">
        <f t="shared" si="9"/>
        <v>76.88135295629982</v>
      </c>
    </row>
    <row r="74" spans="1:11" ht="27.75" customHeight="1">
      <c r="A74" s="2299" t="s">
        <v>198</v>
      </c>
      <c r="B74" s="907" t="s">
        <v>170</v>
      </c>
      <c r="C74" s="908" t="s">
        <v>377</v>
      </c>
      <c r="D74" s="2331" t="s">
        <v>568</v>
      </c>
      <c r="E74" s="1902">
        <f>E75</f>
        <v>3729.6</v>
      </c>
      <c r="F74" s="2748">
        <f>F76</f>
        <v>435.6</v>
      </c>
      <c r="G74" s="2749">
        <f>G76</f>
        <v>419.4</v>
      </c>
      <c r="H74" s="2749">
        <f>H76</f>
        <v>419.5</v>
      </c>
      <c r="I74" s="2750">
        <f>I76</f>
        <v>419.5</v>
      </c>
      <c r="J74" s="2814">
        <f>J75</f>
        <v>3059.7</v>
      </c>
      <c r="K74" s="2813">
        <f t="shared" si="9"/>
        <v>82.03828828828829</v>
      </c>
    </row>
    <row r="75" spans="1:11" ht="56.25" customHeight="1">
      <c r="A75" s="2276" t="s">
        <v>199</v>
      </c>
      <c r="B75" s="232" t="s">
        <v>170</v>
      </c>
      <c r="C75" s="233" t="s">
        <v>562</v>
      </c>
      <c r="D75" s="2332" t="str">
        <f>кв!C91</f>
        <v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v>
      </c>
      <c r="E75" s="2794">
        <f>SUM(E76:E77)</f>
        <v>3729.6</v>
      </c>
      <c r="F75" s="2795"/>
      <c r="G75" s="2796"/>
      <c r="H75" s="2796"/>
      <c r="I75" s="2797"/>
      <c r="J75" s="2730">
        <f>J76+J77</f>
        <v>3059.7</v>
      </c>
      <c r="K75" s="2745">
        <f t="shared" si="9"/>
        <v>82.03828828828829</v>
      </c>
    </row>
    <row r="76" spans="1:11" ht="63" customHeight="1">
      <c r="A76" s="572" t="s">
        <v>201</v>
      </c>
      <c r="B76" s="18" t="s">
        <v>631</v>
      </c>
      <c r="C76" s="234" t="s">
        <v>885</v>
      </c>
      <c r="D76" s="2309" t="s">
        <v>50</v>
      </c>
      <c r="E76" s="1890">
        <v>3724</v>
      </c>
      <c r="F76" s="1871">
        <v>435.6</v>
      </c>
      <c r="G76" s="78">
        <v>419.4</v>
      </c>
      <c r="H76" s="78">
        <v>419.5</v>
      </c>
      <c r="I76" s="2710">
        <v>419.5</v>
      </c>
      <c r="J76" s="2741">
        <v>3054.1</v>
      </c>
      <c r="K76" s="2739">
        <f t="shared" si="9"/>
        <v>82.01127819548873</v>
      </c>
    </row>
    <row r="77" spans="1:11" ht="90" customHeight="1">
      <c r="A77" s="572" t="s">
        <v>202</v>
      </c>
      <c r="B77" s="18" t="s">
        <v>631</v>
      </c>
      <c r="C77" s="234" t="s">
        <v>886</v>
      </c>
      <c r="D77" s="2309" t="s">
        <v>24</v>
      </c>
      <c r="E77" s="1890">
        <v>5.6</v>
      </c>
      <c r="F77" s="1871"/>
      <c r="G77" s="78"/>
      <c r="H77" s="78"/>
      <c r="I77" s="2710"/>
      <c r="J77" s="2741">
        <v>5.6</v>
      </c>
      <c r="K77" s="2739">
        <f t="shared" si="9"/>
        <v>100</v>
      </c>
    </row>
    <row r="78" spans="1:11" ht="56.25" customHeight="1">
      <c r="A78" s="2299" t="s">
        <v>393</v>
      </c>
      <c r="B78" s="909" t="s">
        <v>170</v>
      </c>
      <c r="C78" s="908" t="s">
        <v>741</v>
      </c>
      <c r="D78" s="2331" t="str">
        <f>кв!C94</f>
        <v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v>
      </c>
      <c r="E78" s="1903">
        <f aca="true" t="shared" si="12" ref="E78:J78">E79</f>
        <v>12217.699999999999</v>
      </c>
      <c r="F78" s="222">
        <f t="shared" si="12"/>
        <v>1742.6</v>
      </c>
      <c r="G78" s="216">
        <f t="shared" si="12"/>
        <v>1787.7</v>
      </c>
      <c r="H78" s="216">
        <f t="shared" si="12"/>
        <v>1802.7</v>
      </c>
      <c r="I78" s="2722">
        <f t="shared" si="12"/>
        <v>1802.8</v>
      </c>
      <c r="J78" s="2814">
        <f t="shared" si="12"/>
        <v>9200.8</v>
      </c>
      <c r="K78" s="2813">
        <f t="shared" si="9"/>
        <v>75.30713636772879</v>
      </c>
    </row>
    <row r="79" spans="1:11" ht="54.75" customHeight="1">
      <c r="A79" s="2276" t="s">
        <v>564</v>
      </c>
      <c r="B79" s="232" t="s">
        <v>170</v>
      </c>
      <c r="C79" s="233" t="s">
        <v>742</v>
      </c>
      <c r="D79" s="2333" t="str">
        <f>кв!C95</f>
        <v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v>
      </c>
      <c r="E79" s="2794">
        <f>SUM(E80:E81)</f>
        <v>12217.699999999999</v>
      </c>
      <c r="F79" s="2795">
        <f>SUM(F80:F81)</f>
        <v>1742.6</v>
      </c>
      <c r="G79" s="2796">
        <f>SUM(G80:G81)</f>
        <v>1787.7</v>
      </c>
      <c r="H79" s="2796">
        <f>SUM(H80:H81)</f>
        <v>1802.7</v>
      </c>
      <c r="I79" s="2797">
        <f>SUM(I80:I81)</f>
        <v>1802.8</v>
      </c>
      <c r="J79" s="2730">
        <f>J80+J81</f>
        <v>9200.8</v>
      </c>
      <c r="K79" s="2745">
        <f t="shared" si="9"/>
        <v>75.30713636772879</v>
      </c>
    </row>
    <row r="80" spans="1:11" ht="37.5" customHeight="1">
      <c r="A80" s="2284" t="s">
        <v>201</v>
      </c>
      <c r="B80" s="229" t="s">
        <v>631</v>
      </c>
      <c r="C80" s="235" t="s">
        <v>431</v>
      </c>
      <c r="D80" s="2303" t="s">
        <v>25</v>
      </c>
      <c r="E80" s="1904">
        <v>9259.8</v>
      </c>
      <c r="F80" s="223">
        <v>1470</v>
      </c>
      <c r="G80" s="212">
        <v>1500</v>
      </c>
      <c r="H80" s="212">
        <v>1515</v>
      </c>
      <c r="I80" s="2723">
        <v>1515</v>
      </c>
      <c r="J80" s="2741">
        <v>6944.9</v>
      </c>
      <c r="K80" s="2739">
        <f t="shared" si="9"/>
        <v>75.00053996846584</v>
      </c>
    </row>
    <row r="81" spans="1:11" ht="35.25" customHeight="1" thickBot="1">
      <c r="A81" s="2292" t="s">
        <v>202</v>
      </c>
      <c r="B81" s="236" t="s">
        <v>631</v>
      </c>
      <c r="C81" s="237" t="s">
        <v>432</v>
      </c>
      <c r="D81" s="2334" t="s">
        <v>560</v>
      </c>
      <c r="E81" s="1905">
        <v>2957.9</v>
      </c>
      <c r="F81" s="224">
        <v>272.6</v>
      </c>
      <c r="G81" s="213">
        <v>287.7</v>
      </c>
      <c r="H81" s="213">
        <v>287.7</v>
      </c>
      <c r="I81" s="2724">
        <v>287.8</v>
      </c>
      <c r="J81" s="2741">
        <v>2255.9</v>
      </c>
      <c r="K81" s="2739">
        <f t="shared" si="9"/>
        <v>76.26694614422395</v>
      </c>
    </row>
    <row r="82" spans="1:11" ht="15.75" customHeight="1" hidden="1">
      <c r="A82" s="2300"/>
      <c r="B82" s="208"/>
      <c r="C82" s="71"/>
      <c r="D82" s="1842"/>
      <c r="E82" s="209"/>
      <c r="F82" s="225"/>
      <c r="G82" s="210"/>
      <c r="H82" s="210"/>
      <c r="I82" s="2725"/>
      <c r="J82" s="2729"/>
      <c r="K82" s="2747" t="e">
        <f t="shared" si="9"/>
        <v>#DIV/0!</v>
      </c>
    </row>
    <row r="83" spans="1:11" ht="24.75" customHeight="1" hidden="1" thickBot="1">
      <c r="A83" s="2301"/>
      <c r="B83" s="20"/>
      <c r="C83" s="64"/>
      <c r="D83" s="2335"/>
      <c r="E83" s="113"/>
      <c r="F83" s="226"/>
      <c r="G83" s="114"/>
      <c r="H83" s="114"/>
      <c r="I83" s="2726"/>
      <c r="J83" s="2729"/>
      <c r="K83" s="2747" t="e">
        <f t="shared" si="9"/>
        <v>#DIV/0!</v>
      </c>
    </row>
    <row r="84" spans="1:11" ht="19.5" thickBot="1">
      <c r="A84" s="16"/>
      <c r="B84" s="16"/>
      <c r="C84" s="2337"/>
      <c r="D84" s="244" t="s">
        <v>402</v>
      </c>
      <c r="E84" s="1899">
        <f>E6+E68</f>
        <v>117659</v>
      </c>
      <c r="F84" s="2727">
        <f>F6+F68</f>
        <v>9332.2</v>
      </c>
      <c r="G84" s="1899">
        <f>G6+G68</f>
        <v>11103.1</v>
      </c>
      <c r="H84" s="1899">
        <f>H6+H68</f>
        <v>26109.2</v>
      </c>
      <c r="I84" s="2728">
        <f>I6+I68</f>
        <v>12652.3</v>
      </c>
      <c r="J84" s="2812">
        <f>J7+J29+J68</f>
        <v>95214.8</v>
      </c>
      <c r="K84" s="2811">
        <f t="shared" si="9"/>
        <v>80.92436617683305</v>
      </c>
    </row>
    <row r="85" spans="1:9" ht="16.5" customHeight="1" hidden="1" thickBot="1">
      <c r="A85" s="147"/>
      <c r="B85" s="148"/>
      <c r="C85" s="2338"/>
      <c r="D85" s="238" t="s">
        <v>403</v>
      </c>
      <c r="E85" s="246">
        <f>кв!D99</f>
        <v>6999.999999999982</v>
      </c>
      <c r="F85" s="245" t="e">
        <f>Источники!#REF!</f>
        <v>#REF!</v>
      </c>
      <c r="G85" s="240" t="e">
        <f>Источники!#REF!</f>
        <v>#REF!</v>
      </c>
      <c r="H85" s="240" t="e">
        <f>Источники!#REF!</f>
        <v>#REF!</v>
      </c>
      <c r="I85" s="247" t="e">
        <f>Источники!#REF!</f>
        <v>#REF!</v>
      </c>
    </row>
    <row r="86" spans="1:9" ht="16.5" customHeight="1" hidden="1" thickBot="1">
      <c r="A86" s="117"/>
      <c r="B86" s="36"/>
      <c r="C86" s="36"/>
      <c r="D86" s="239" t="s">
        <v>805</v>
      </c>
      <c r="E86" s="215">
        <f>E84+E85</f>
        <v>124658.99999999999</v>
      </c>
      <c r="F86" s="241" t="e">
        <f>'ВЕД.СТ Пр.2.'!J31</f>
        <v>#REF!</v>
      </c>
      <c r="G86" s="242" t="e">
        <f>'ВЕД.СТ Пр.2.'!K31</f>
        <v>#REF!</v>
      </c>
      <c r="H86" s="242" t="e">
        <f>'ВЕД.СТ Пр.2.'!L31</f>
        <v>#REF!</v>
      </c>
      <c r="I86" s="243" t="e">
        <f>'ВЕД.СТ Пр.2.'!M31</f>
        <v>#REF!</v>
      </c>
    </row>
    <row r="87" spans="1:3" ht="14.25">
      <c r="A87" s="14"/>
      <c r="B87" s="14"/>
      <c r="C87" s="14"/>
    </row>
    <row r="88" spans="1:4" ht="15" hidden="1">
      <c r="A88" s="37"/>
      <c r="B88" s="37"/>
      <c r="C88" s="37"/>
      <c r="D88" s="332">
        <f>кв!D99</f>
        <v>6999.999999999982</v>
      </c>
    </row>
  </sheetData>
  <sheetProtection/>
  <mergeCells count="13">
    <mergeCell ref="A3:E3"/>
    <mergeCell ref="J4:J5"/>
    <mergeCell ref="A4:A5"/>
    <mergeCell ref="B4:C4"/>
    <mergeCell ref="D4:D5"/>
    <mergeCell ref="G4:G5"/>
    <mergeCell ref="A1:K1"/>
    <mergeCell ref="A2:K2"/>
    <mergeCell ref="F4:F5"/>
    <mergeCell ref="H4:H5"/>
    <mergeCell ref="I4:I5"/>
    <mergeCell ref="K4:K5"/>
    <mergeCell ref="J3:K3"/>
  </mergeCells>
  <printOptions/>
  <pageMargins left="0.24" right="0.21" top="0.36" bottom="0.5" header="0.38" footer="0.2"/>
  <pageSetup horizontalDpi="1200" verticalDpi="1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9"/>
  <sheetViews>
    <sheetView zoomScaleSheetLayoutView="100" zoomScalePageLayoutView="0" workbookViewId="0" topLeftCell="A6">
      <selection activeCell="A9" sqref="A9"/>
    </sheetView>
  </sheetViews>
  <sheetFormatPr defaultColWidth="9.00390625" defaultRowHeight="12.75"/>
  <cols>
    <col min="1" max="1" width="54.125" style="0" customWidth="1"/>
    <col min="2" max="2" width="6.25390625" style="0" customWidth="1"/>
    <col min="3" max="3" width="6.75390625" style="0" customWidth="1"/>
    <col min="4" max="4" width="9.625" style="0" customWidth="1"/>
    <col min="5" max="5" width="5.25390625" style="0" customWidth="1"/>
    <col min="6" max="6" width="8.625" style="0" hidden="1" customWidth="1"/>
    <col min="7" max="7" width="8.625" style="0" customWidth="1"/>
    <col min="8" max="8" width="10.625" style="0" customWidth="1"/>
    <col min="9" max="9" width="11.00390625" style="0" customWidth="1"/>
  </cols>
  <sheetData>
    <row r="1" spans="1:7" ht="11.25" customHeight="1" hidden="1">
      <c r="A1" s="2951"/>
      <c r="B1" s="2951"/>
      <c r="C1" s="2951"/>
      <c r="D1" s="2951"/>
      <c r="E1" s="2951"/>
      <c r="F1" s="2951"/>
      <c r="G1" s="2951"/>
    </row>
    <row r="2" spans="1:7" ht="11.25" customHeight="1" hidden="1">
      <c r="A2" s="2951"/>
      <c r="B2" s="2951"/>
      <c r="C2" s="2951"/>
      <c r="D2" s="2951"/>
      <c r="E2" s="2951"/>
      <c r="F2" s="2951"/>
      <c r="G2" s="2951"/>
    </row>
    <row r="3" spans="1:7" ht="11.25" customHeight="1" hidden="1">
      <c r="A3" s="2951"/>
      <c r="B3" s="2951"/>
      <c r="C3" s="2951"/>
      <c r="D3" s="2951"/>
      <c r="E3" s="2951"/>
      <c r="F3" s="2951"/>
      <c r="G3" s="2951"/>
    </row>
    <row r="4" spans="1:7" ht="11.25" customHeight="1" hidden="1">
      <c r="A4" s="2951"/>
      <c r="B4" s="2951"/>
      <c r="C4" s="2951"/>
      <c r="D4" s="2951"/>
      <c r="E4" s="2951"/>
      <c r="F4" s="2951"/>
      <c r="G4" s="2951"/>
    </row>
    <row r="5" spans="1:7" ht="11.25" customHeight="1" hidden="1">
      <c r="A5" s="2951"/>
      <c r="B5" s="2951"/>
      <c r="C5" s="2951"/>
      <c r="D5" s="2951"/>
      <c r="E5" s="2951"/>
      <c r="F5" s="2951"/>
      <c r="G5" s="2951"/>
    </row>
    <row r="6" spans="1:7" ht="17.25" customHeight="1">
      <c r="A6" s="2932" t="s">
        <v>1403</v>
      </c>
      <c r="B6" s="2932"/>
      <c r="C6" s="2932"/>
      <c r="D6" s="2932"/>
      <c r="E6" s="2932"/>
      <c r="F6" s="2932"/>
      <c r="G6" s="2932"/>
    </row>
    <row r="7" spans="1:7" ht="18.75">
      <c r="A7" s="2931" t="s">
        <v>1409</v>
      </c>
      <c r="B7" s="2931"/>
      <c r="C7" s="2931"/>
      <c r="D7" s="2931"/>
      <c r="E7" s="2931"/>
      <c r="F7" s="2931"/>
      <c r="G7" s="2931"/>
    </row>
    <row r="8" spans="1:7" ht="19.5" thickBot="1">
      <c r="A8" s="2955" t="s">
        <v>1428</v>
      </c>
      <c r="B8" s="2955"/>
      <c r="C8" s="2955"/>
      <c r="D8" s="2955"/>
      <c r="E8" s="2954" t="s">
        <v>253</v>
      </c>
      <c r="F8" s="2954"/>
      <c r="G8" s="2954"/>
    </row>
    <row r="9" spans="1:9" ht="49.5" thickBot="1">
      <c r="A9" s="2140" t="s">
        <v>254</v>
      </c>
      <c r="B9" s="2114" t="s">
        <v>443</v>
      </c>
      <c r="C9" s="2113" t="s">
        <v>267</v>
      </c>
      <c r="D9" s="2113" t="s">
        <v>265</v>
      </c>
      <c r="E9" s="2113" t="s">
        <v>110</v>
      </c>
      <c r="F9" s="2172" t="s">
        <v>266</v>
      </c>
      <c r="G9" s="381" t="s">
        <v>1410</v>
      </c>
      <c r="H9" s="655" t="s">
        <v>1406</v>
      </c>
      <c r="I9" s="381" t="s">
        <v>1407</v>
      </c>
    </row>
    <row r="10" spans="1:9" ht="13.5" thickBot="1">
      <c r="A10" s="2203">
        <v>2</v>
      </c>
      <c r="B10" s="2204" t="s">
        <v>471</v>
      </c>
      <c r="C10" s="2205" t="s">
        <v>680</v>
      </c>
      <c r="D10" s="2205" t="s">
        <v>326</v>
      </c>
      <c r="E10" s="2205" t="s">
        <v>327</v>
      </c>
      <c r="F10" s="2206" t="s">
        <v>327</v>
      </c>
      <c r="G10" s="2821">
        <v>7</v>
      </c>
      <c r="H10" s="2849"/>
      <c r="I10" s="2850"/>
    </row>
    <row r="11" spans="1:9" ht="18" customHeight="1" hidden="1" thickBot="1">
      <c r="A11" s="2221" t="str">
        <f>'ВЕД.СТ Пр.2.'!C22</f>
        <v>ИЗБИРАТЕЛЬНАЯ КОМИССИЯ МО МО ОЗЕРО ДОЛГОЕ</v>
      </c>
      <c r="B11" s="2222">
        <f>'ВЕД.СТ Пр.2.'!D22</f>
        <v>917</v>
      </c>
      <c r="C11" s="2223"/>
      <c r="D11" s="2223"/>
      <c r="E11" s="2223"/>
      <c r="F11" s="2224"/>
      <c r="G11" s="2822">
        <f>G12</f>
        <v>0</v>
      </c>
      <c r="H11" s="2849"/>
      <c r="I11" s="2850"/>
    </row>
    <row r="12" spans="1:9" ht="18" customHeight="1" hidden="1" thickBot="1">
      <c r="A12" s="2229" t="str">
        <f>'Бюд.р.'!A9</f>
        <v>Обеспечение проведения выборов и референдумов</v>
      </c>
      <c r="B12" s="2230">
        <f>'Бюд.р.'!B9</f>
        <v>917</v>
      </c>
      <c r="C12" s="2244" t="s">
        <v>525</v>
      </c>
      <c r="D12" s="2231"/>
      <c r="E12" s="2231"/>
      <c r="F12" s="2232"/>
      <c r="G12" s="2823">
        <f>G13+G16</f>
        <v>0</v>
      </c>
      <c r="H12" s="2849"/>
      <c r="I12" s="2850"/>
    </row>
    <row r="13" spans="1:9" ht="24.75" hidden="1" thickBot="1">
      <c r="A13" s="2035" t="str">
        <f>'ВЕД.СТ Пр.2.'!C26</f>
        <v>Проведение выборов в представительные органы муниципального образования</v>
      </c>
      <c r="B13" s="2026">
        <f>'ВЕД.СТ Пр.2.'!D26</f>
        <v>917</v>
      </c>
      <c r="C13" s="1986" t="s">
        <v>525</v>
      </c>
      <c r="D13" s="1774" t="str">
        <f>'ВЕД.СТ Пр.2.'!F26</f>
        <v>020 01 01</v>
      </c>
      <c r="E13" s="1774"/>
      <c r="F13" s="1830"/>
      <c r="G13" s="2482">
        <f>SUM(G14:G15)</f>
        <v>0</v>
      </c>
      <c r="H13" s="2849"/>
      <c r="I13" s="2850"/>
    </row>
    <row r="14" spans="1:9" ht="13.5" hidden="1" thickBot="1">
      <c r="A14" s="2255" t="str">
        <f>'Бюд.р.'!A13</f>
        <v>Фонд оплаты труда и страховые взносы</v>
      </c>
      <c r="B14" s="2256">
        <f>'ВЕД.СТ Пр.2.'!D27</f>
        <v>917</v>
      </c>
      <c r="C14" s="1976" t="s">
        <v>525</v>
      </c>
      <c r="D14" s="1748" t="str">
        <f>'ВЕД.СТ Пр.2.'!F27</f>
        <v>020 01 01</v>
      </c>
      <c r="E14" s="1748">
        <f>'Бюд.р.'!F13</f>
        <v>121</v>
      </c>
      <c r="F14" s="1749"/>
      <c r="G14" s="1835">
        <f>'Бюд.р.'!H13</f>
        <v>0</v>
      </c>
      <c r="H14" s="2849"/>
      <c r="I14" s="2850"/>
    </row>
    <row r="15" spans="1:9" ht="16.5" customHeight="1" hidden="1">
      <c r="A15" s="2257" t="str">
        <f>'Бюд.р.'!A16</f>
        <v>Прочая закупка товаров, работ и услуг для муниципальных нужд</v>
      </c>
      <c r="B15" s="2256">
        <f>'ВЕД.СТ Пр.2.'!D28</f>
        <v>917</v>
      </c>
      <c r="C15" s="1976" t="s">
        <v>525</v>
      </c>
      <c r="D15" s="1748" t="str">
        <f>'ВЕД.СТ Пр.2.'!F28</f>
        <v>020 01 01 </v>
      </c>
      <c r="E15" s="1748">
        <f>'Бюд.р.'!F16</f>
        <v>244</v>
      </c>
      <c r="F15" s="1749"/>
      <c r="G15" s="1835">
        <f>'Бюд.р.'!H16</f>
        <v>0</v>
      </c>
      <c r="H15" s="2849"/>
      <c r="I15" s="2850"/>
    </row>
    <row r="16" spans="1:9" ht="23.25" customHeight="1" hidden="1">
      <c r="A16" s="2035" t="str">
        <f>'ВЕД.СТ Пр.2.'!C29</f>
        <v>Повышение правовой культуры избирателей и обучение организаторов выборов</v>
      </c>
      <c r="B16" s="2026">
        <f>'ВЕД.СТ Пр.2.'!D29</f>
        <v>917</v>
      </c>
      <c r="C16" s="1986" t="s">
        <v>525</v>
      </c>
      <c r="D16" s="1774" t="str">
        <f>'ВЕД.СТ Пр.2.'!F29</f>
        <v>020 01 03</v>
      </c>
      <c r="E16" s="1774"/>
      <c r="F16" s="1830"/>
      <c r="G16" s="2482">
        <f>G17</f>
        <v>0</v>
      </c>
      <c r="H16" s="2849"/>
      <c r="I16" s="2850"/>
    </row>
    <row r="17" spans="1:9" ht="15.75" customHeight="1" hidden="1" thickBot="1">
      <c r="A17" s="2257" t="str">
        <f>'Бюд.р.'!A28</f>
        <v>Прочая закупка товаров, работ и услуг для муниципальных нужд</v>
      </c>
      <c r="B17" s="2256">
        <f>'ВЕД.СТ Пр.2.'!D30</f>
        <v>917</v>
      </c>
      <c r="C17" s="1976" t="s">
        <v>525</v>
      </c>
      <c r="D17" s="1748" t="str">
        <f>'ВЕД.СТ Пр.2.'!F30</f>
        <v>020 01 03</v>
      </c>
      <c r="E17" s="1748">
        <f>'Бюд.р.'!F28</f>
        <v>244</v>
      </c>
      <c r="F17" s="1749"/>
      <c r="G17" s="1835">
        <f>'Бюд.р.'!H28</f>
        <v>0</v>
      </c>
      <c r="H17" s="2849"/>
      <c r="I17" s="2850"/>
    </row>
    <row r="18" spans="1:9" ht="13.5" hidden="1" thickBot="1">
      <c r="A18" s="2142"/>
      <c r="B18" s="2115"/>
      <c r="C18" s="2092"/>
      <c r="D18" s="2092"/>
      <c r="E18" s="2092"/>
      <c r="F18" s="2173"/>
      <c r="G18" s="2824"/>
      <c r="H18" s="2849"/>
      <c r="I18" s="2850"/>
    </row>
    <row r="19" spans="1:9" ht="13.5" hidden="1" thickBot="1">
      <c r="A19" s="2142"/>
      <c r="B19" s="2115"/>
      <c r="C19" s="2092"/>
      <c r="D19" s="2092"/>
      <c r="E19" s="2092"/>
      <c r="F19" s="2173"/>
      <c r="G19" s="2824"/>
      <c r="H19" s="2849"/>
      <c r="I19" s="2850"/>
    </row>
    <row r="20" spans="1:9" ht="40.5" customHeight="1" hidden="1" thickBot="1">
      <c r="A20" s="2207"/>
      <c r="B20" s="2208"/>
      <c r="C20" s="2093"/>
      <c r="D20" s="2093"/>
      <c r="E20" s="2093"/>
      <c r="F20" s="2209"/>
      <c r="G20" s="2825"/>
      <c r="H20" s="2849"/>
      <c r="I20" s="2850"/>
    </row>
    <row r="21" spans="1:9" ht="23.25" customHeight="1" thickBot="1">
      <c r="A21" s="2217" t="s">
        <v>92</v>
      </c>
      <c r="B21" s="2218" t="s">
        <v>93</v>
      </c>
      <c r="C21" s="2219"/>
      <c r="D21" s="2219"/>
      <c r="E21" s="2219"/>
      <c r="F21" s="2220"/>
      <c r="G21" s="2826">
        <f>G23+G31+G50</f>
        <v>4378.799999999999</v>
      </c>
      <c r="H21" s="2826">
        <f>H23+H31+H50</f>
        <v>3309.4</v>
      </c>
      <c r="I21" s="2884">
        <f>H21/G21*100</f>
        <v>75.57778386772634</v>
      </c>
    </row>
    <row r="22" spans="1:9" s="436" customFormat="1" ht="13.5" thickBot="1">
      <c r="A22" s="2856" t="s">
        <v>111</v>
      </c>
      <c r="B22" s="2857" t="s">
        <v>93</v>
      </c>
      <c r="C22" s="2858" t="s">
        <v>456</v>
      </c>
      <c r="D22" s="2858"/>
      <c r="E22" s="2858"/>
      <c r="F22" s="2859"/>
      <c r="G22" s="2860">
        <f>G31+G23</f>
        <v>4378.799999999999</v>
      </c>
      <c r="H22" s="2860">
        <f>H31+H23</f>
        <v>3309.4</v>
      </c>
      <c r="I22" s="2885">
        <f aca="true" t="shared" si="0" ref="I22:I85">H22/G22*100</f>
        <v>75.57778386772634</v>
      </c>
    </row>
    <row r="23" spans="1:9" ht="37.5" customHeight="1" thickBot="1">
      <c r="A23" s="2861" t="s">
        <v>141</v>
      </c>
      <c r="B23" s="2862" t="s">
        <v>93</v>
      </c>
      <c r="C23" s="2863" t="s">
        <v>455</v>
      </c>
      <c r="D23" s="2863"/>
      <c r="E23" s="2863"/>
      <c r="F23" s="2864"/>
      <c r="G23" s="2865">
        <f>G24</f>
        <v>1117.6</v>
      </c>
      <c r="H23" s="2865">
        <f>H24</f>
        <v>1005.5</v>
      </c>
      <c r="I23" s="2886">
        <f t="shared" si="0"/>
        <v>89.96957766642807</v>
      </c>
    </row>
    <row r="24" spans="1:9" ht="14.25" customHeight="1" thickBot="1">
      <c r="A24" s="2145" t="s">
        <v>458</v>
      </c>
      <c r="B24" s="2119" t="s">
        <v>93</v>
      </c>
      <c r="C24" s="1189" t="s">
        <v>455</v>
      </c>
      <c r="D24" s="1189" t="s">
        <v>459</v>
      </c>
      <c r="E24" s="1189"/>
      <c r="F24" s="1762"/>
      <c r="G24" s="2829">
        <f>G25</f>
        <v>1117.6</v>
      </c>
      <c r="H24" s="2829">
        <f>H25</f>
        <v>1005.5</v>
      </c>
      <c r="I24" s="2885">
        <f t="shared" si="0"/>
        <v>89.96957766642807</v>
      </c>
    </row>
    <row r="25" spans="1:9" ht="46.5" customHeight="1" thickBot="1">
      <c r="A25" s="2141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1919" t="s">
        <v>93</v>
      </c>
      <c r="C25" s="1193" t="s">
        <v>455</v>
      </c>
      <c r="D25" s="1193" t="s">
        <v>459</v>
      </c>
      <c r="E25" s="1193">
        <v>100</v>
      </c>
      <c r="F25" s="1564"/>
      <c r="G25" s="2830">
        <v>1117.6</v>
      </c>
      <c r="H25" s="2855">
        <v>1005.5</v>
      </c>
      <c r="I25" s="2887">
        <f t="shared" si="0"/>
        <v>89.96957766642807</v>
      </c>
    </row>
    <row r="26" spans="1:9" ht="24" customHeight="1" hidden="1">
      <c r="A26" s="2145" t="s">
        <v>275</v>
      </c>
      <c r="B26" s="2119"/>
      <c r="C26" s="1196" t="s">
        <v>312</v>
      </c>
      <c r="D26" s="1196" t="s">
        <v>113</v>
      </c>
      <c r="E26" s="1196" t="s">
        <v>748</v>
      </c>
      <c r="F26" s="2176" t="s">
        <v>276</v>
      </c>
      <c r="G26" s="2831"/>
      <c r="H26" s="2855"/>
      <c r="I26" s="2884" t="e">
        <f t="shared" si="0"/>
        <v>#DIV/0!</v>
      </c>
    </row>
    <row r="27" spans="1:9" ht="12.75" customHeight="1" hidden="1">
      <c r="A27" s="2146" t="s">
        <v>291</v>
      </c>
      <c r="B27" s="2120"/>
      <c r="C27" s="1200" t="s">
        <v>312</v>
      </c>
      <c r="D27" s="1200" t="s">
        <v>113</v>
      </c>
      <c r="E27" s="1200" t="s">
        <v>748</v>
      </c>
      <c r="F27" s="2177" t="s">
        <v>279</v>
      </c>
      <c r="G27" s="2831"/>
      <c r="H27" s="2855"/>
      <c r="I27" s="2884" t="e">
        <f t="shared" si="0"/>
        <v>#DIV/0!</v>
      </c>
    </row>
    <row r="28" spans="1:9" ht="12.75" customHeight="1" hidden="1">
      <c r="A28" s="2147" t="s">
        <v>114</v>
      </c>
      <c r="B28" s="2121"/>
      <c r="C28" s="1204" t="s">
        <v>312</v>
      </c>
      <c r="D28" s="1204" t="s">
        <v>113</v>
      </c>
      <c r="E28" s="1204" t="s">
        <v>748</v>
      </c>
      <c r="F28" s="2178" t="s">
        <v>286</v>
      </c>
      <c r="G28" s="2831"/>
      <c r="H28" s="2855"/>
      <c r="I28" s="2884" t="e">
        <f t="shared" si="0"/>
        <v>#DIV/0!</v>
      </c>
    </row>
    <row r="29" spans="1:9" ht="13.5" hidden="1" thickBot="1">
      <c r="A29" s="2147" t="s">
        <v>115</v>
      </c>
      <c r="B29" s="2121"/>
      <c r="C29" s="1204" t="s">
        <v>312</v>
      </c>
      <c r="D29" s="1204" t="s">
        <v>113</v>
      </c>
      <c r="E29" s="1204" t="s">
        <v>748</v>
      </c>
      <c r="F29" s="2178" t="s">
        <v>287</v>
      </c>
      <c r="G29" s="2831"/>
      <c r="H29" s="2855"/>
      <c r="I29" s="2884" t="e">
        <f t="shared" si="0"/>
        <v>#DIV/0!</v>
      </c>
    </row>
    <row r="30" spans="1:9" ht="39" hidden="1" thickBot="1">
      <c r="A30" s="2148" t="s">
        <v>723</v>
      </c>
      <c r="B30" s="2116"/>
      <c r="C30" s="1208" t="s">
        <v>289</v>
      </c>
      <c r="D30" s="1208"/>
      <c r="E30" s="1208"/>
      <c r="F30" s="2179"/>
      <c r="G30" s="2831"/>
      <c r="H30" s="2855"/>
      <c r="I30" s="2884" t="e">
        <f t="shared" si="0"/>
        <v>#DIV/0!</v>
      </c>
    </row>
    <row r="31" spans="1:9" ht="52.5" customHeight="1" thickBot="1">
      <c r="A31" s="2866" t="s">
        <v>921</v>
      </c>
      <c r="B31" s="2862" t="s">
        <v>93</v>
      </c>
      <c r="C31" s="2863" t="s">
        <v>473</v>
      </c>
      <c r="D31" s="2863"/>
      <c r="E31" s="2863"/>
      <c r="F31" s="2864"/>
      <c r="G31" s="2865">
        <f>G32+G46</f>
        <v>3261.2</v>
      </c>
      <c r="H31" s="2865">
        <f>H32+H46</f>
        <v>2303.9</v>
      </c>
      <c r="I31" s="2886">
        <f t="shared" si="0"/>
        <v>70.6457745615111</v>
      </c>
    </row>
    <row r="32" spans="1:9" ht="28.5" customHeight="1" thickBot="1">
      <c r="A32" s="2149" t="s">
        <v>477</v>
      </c>
      <c r="B32" s="2122">
        <v>925</v>
      </c>
      <c r="C32" s="1211">
        <v>103</v>
      </c>
      <c r="D32" s="1212" t="s">
        <v>56</v>
      </c>
      <c r="E32" s="1211"/>
      <c r="F32" s="1762"/>
      <c r="G32" s="2832">
        <f>G33+G35</f>
        <v>1225.7</v>
      </c>
      <c r="H32" s="2832">
        <f>H33+H35</f>
        <v>905.3000000000001</v>
      </c>
      <c r="I32" s="2885">
        <f t="shared" si="0"/>
        <v>73.8598351962144</v>
      </c>
    </row>
    <row r="33" spans="1:11" ht="25.5" customHeight="1" thickBot="1">
      <c r="A33" s="2150" t="s">
        <v>57</v>
      </c>
      <c r="B33" s="2123">
        <v>925</v>
      </c>
      <c r="C33" s="2245" t="s">
        <v>473</v>
      </c>
      <c r="D33" s="1213" t="s">
        <v>58</v>
      </c>
      <c r="E33" s="1761"/>
      <c r="F33" s="2180"/>
      <c r="G33" s="2833">
        <f>G34</f>
        <v>961.1</v>
      </c>
      <c r="H33" s="2833">
        <f>H34</f>
        <v>736.2</v>
      </c>
      <c r="I33" s="2885">
        <f t="shared" si="0"/>
        <v>76.59972947664136</v>
      </c>
      <c r="K33" t="s">
        <v>1411</v>
      </c>
    </row>
    <row r="34" spans="1:9" ht="47.25" customHeight="1" thickBot="1">
      <c r="A34" s="2141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" s="2124">
        <v>925</v>
      </c>
      <c r="C34" s="2246" t="s">
        <v>473</v>
      </c>
      <c r="D34" s="1215" t="s">
        <v>58</v>
      </c>
      <c r="E34" s="1215">
        <v>100</v>
      </c>
      <c r="F34" s="2181"/>
      <c r="G34" s="2834">
        <v>961.1</v>
      </c>
      <c r="H34" s="2855">
        <v>736.2</v>
      </c>
      <c r="I34" s="2887">
        <f t="shared" si="0"/>
        <v>76.59972947664136</v>
      </c>
    </row>
    <row r="35" spans="1:9" ht="25.5" customHeight="1" thickBot="1">
      <c r="A35" s="2150" t="s">
        <v>1357</v>
      </c>
      <c r="B35" s="2123">
        <v>925</v>
      </c>
      <c r="C35" s="2245" t="s">
        <v>473</v>
      </c>
      <c r="D35" s="1213" t="s">
        <v>60</v>
      </c>
      <c r="E35" s="1213"/>
      <c r="F35" s="2180"/>
      <c r="G35" s="2833">
        <f>G41</f>
        <v>264.6</v>
      </c>
      <c r="H35" s="2833">
        <f>H41</f>
        <v>169.1</v>
      </c>
      <c r="I35" s="2885">
        <f t="shared" si="0"/>
        <v>63.90778533635676</v>
      </c>
    </row>
    <row r="36" spans="1:9" ht="26.25" hidden="1" thickBot="1">
      <c r="A36" s="2151" t="s">
        <v>426</v>
      </c>
      <c r="B36" s="2125">
        <v>968</v>
      </c>
      <c r="C36" s="2247">
        <v>103</v>
      </c>
      <c r="D36" s="856" t="s">
        <v>60</v>
      </c>
      <c r="E36" s="856">
        <v>500</v>
      </c>
      <c r="F36" s="2177" t="s">
        <v>276</v>
      </c>
      <c r="G36" s="2831"/>
      <c r="H36" s="2855"/>
      <c r="I36" s="2884" t="e">
        <f t="shared" si="0"/>
        <v>#DIV/0!</v>
      </c>
    </row>
    <row r="37" spans="1:9" ht="13.5" hidden="1" thickBot="1">
      <c r="A37" s="2146" t="s">
        <v>291</v>
      </c>
      <c r="B37" s="2120"/>
      <c r="C37" s="2108" t="s">
        <v>289</v>
      </c>
      <c r="D37" s="1200" t="s">
        <v>113</v>
      </c>
      <c r="E37" s="1200" t="s">
        <v>273</v>
      </c>
      <c r="F37" s="2177" t="s">
        <v>279</v>
      </c>
      <c r="G37" s="2831"/>
      <c r="H37" s="2855"/>
      <c r="I37" s="2884" t="e">
        <f t="shared" si="0"/>
        <v>#DIV/0!</v>
      </c>
    </row>
    <row r="38" spans="1:9" ht="13.5" hidden="1" thickBot="1">
      <c r="A38" s="2147" t="s">
        <v>114</v>
      </c>
      <c r="B38" s="2121"/>
      <c r="C38" s="1703" t="s">
        <v>289</v>
      </c>
      <c r="D38" s="1204" t="s">
        <v>113</v>
      </c>
      <c r="E38" s="1204" t="s">
        <v>273</v>
      </c>
      <c r="F38" s="2178" t="s">
        <v>286</v>
      </c>
      <c r="G38" s="2831"/>
      <c r="H38" s="2855"/>
      <c r="I38" s="2884" t="e">
        <f t="shared" si="0"/>
        <v>#DIV/0!</v>
      </c>
    </row>
    <row r="39" spans="1:9" ht="13.5" hidden="1" thickBot="1">
      <c r="A39" s="2147" t="s">
        <v>117</v>
      </c>
      <c r="B39" s="2121"/>
      <c r="C39" s="1703" t="s">
        <v>289</v>
      </c>
      <c r="D39" s="1204" t="s">
        <v>269</v>
      </c>
      <c r="E39" s="1204" t="s">
        <v>273</v>
      </c>
      <c r="F39" s="2178" t="s">
        <v>449</v>
      </c>
      <c r="G39" s="2831"/>
      <c r="H39" s="2855"/>
      <c r="I39" s="2884" t="e">
        <f t="shared" si="0"/>
        <v>#DIV/0!</v>
      </c>
    </row>
    <row r="40" spans="1:9" ht="13.5" hidden="1" thickBot="1">
      <c r="A40" s="2147" t="s">
        <v>115</v>
      </c>
      <c r="B40" s="2121"/>
      <c r="C40" s="1703" t="s">
        <v>289</v>
      </c>
      <c r="D40" s="1204" t="s">
        <v>113</v>
      </c>
      <c r="E40" s="1204" t="s">
        <v>273</v>
      </c>
      <c r="F40" s="2178" t="s">
        <v>287</v>
      </c>
      <c r="G40" s="2831"/>
      <c r="H40" s="2855"/>
      <c r="I40" s="2884" t="e">
        <f t="shared" si="0"/>
        <v>#DIV/0!</v>
      </c>
    </row>
    <row r="41" spans="1:9" ht="47.25" customHeight="1" thickBot="1">
      <c r="A41" s="2152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1" s="2124">
        <v>925</v>
      </c>
      <c r="C41" s="2246" t="s">
        <v>473</v>
      </c>
      <c r="D41" s="1215" t="s">
        <v>60</v>
      </c>
      <c r="E41" s="1215">
        <v>100</v>
      </c>
      <c r="F41" s="2182"/>
      <c r="G41" s="2834">
        <v>264.6</v>
      </c>
      <c r="H41" s="2855">
        <v>169.1</v>
      </c>
      <c r="I41" s="2887">
        <f t="shared" si="0"/>
        <v>63.90778533635676</v>
      </c>
    </row>
    <row r="42" spans="1:9" ht="13.5" hidden="1" thickBot="1">
      <c r="A42" s="2153" t="s">
        <v>275</v>
      </c>
      <c r="B42" s="2119"/>
      <c r="C42" s="2248" t="s">
        <v>289</v>
      </c>
      <c r="D42" s="1196" t="s">
        <v>113</v>
      </c>
      <c r="E42" s="1196" t="s">
        <v>724</v>
      </c>
      <c r="F42" s="2176" t="s">
        <v>276</v>
      </c>
      <c r="G42" s="2831"/>
      <c r="H42" s="2855"/>
      <c r="I42" s="2884" t="e">
        <f t="shared" si="0"/>
        <v>#DIV/0!</v>
      </c>
    </row>
    <row r="43" spans="1:9" ht="13.5" hidden="1" thickBot="1">
      <c r="A43" s="2154" t="s">
        <v>291</v>
      </c>
      <c r="B43" s="2126"/>
      <c r="C43" s="2249" t="s">
        <v>289</v>
      </c>
      <c r="D43" s="1219" t="s">
        <v>113</v>
      </c>
      <c r="E43" s="1219" t="s">
        <v>724</v>
      </c>
      <c r="F43" s="2183" t="s">
        <v>279</v>
      </c>
      <c r="G43" s="2831"/>
      <c r="H43" s="2855"/>
      <c r="I43" s="2884" t="e">
        <f t="shared" si="0"/>
        <v>#DIV/0!</v>
      </c>
    </row>
    <row r="44" spans="1:9" ht="13.5" hidden="1" thickBot="1">
      <c r="A44" s="2147" t="s">
        <v>114</v>
      </c>
      <c r="B44" s="2121"/>
      <c r="C44" s="1703" t="s">
        <v>289</v>
      </c>
      <c r="D44" s="1204" t="s">
        <v>113</v>
      </c>
      <c r="E44" s="1204" t="s">
        <v>724</v>
      </c>
      <c r="F44" s="2178" t="s">
        <v>286</v>
      </c>
      <c r="G44" s="2831"/>
      <c r="H44" s="2855"/>
      <c r="I44" s="2884" t="e">
        <f t="shared" si="0"/>
        <v>#DIV/0!</v>
      </c>
    </row>
    <row r="45" spans="1:9" ht="13.5" hidden="1" thickBot="1">
      <c r="A45" s="2147" t="s">
        <v>118</v>
      </c>
      <c r="B45" s="2121"/>
      <c r="C45" s="1703" t="s">
        <v>289</v>
      </c>
      <c r="D45" s="1204" t="s">
        <v>113</v>
      </c>
      <c r="E45" s="1204" t="s">
        <v>724</v>
      </c>
      <c r="F45" s="2178" t="s">
        <v>287</v>
      </c>
      <c r="G45" s="2831"/>
      <c r="H45" s="2855"/>
      <c r="I45" s="2884" t="e">
        <f t="shared" si="0"/>
        <v>#DIV/0!</v>
      </c>
    </row>
    <row r="46" spans="1:9" ht="24.75" customHeight="1" thickBot="1">
      <c r="A46" s="2149" t="s">
        <v>55</v>
      </c>
      <c r="B46" s="2122">
        <v>925</v>
      </c>
      <c r="C46" s="2250" t="s">
        <v>473</v>
      </c>
      <c r="D46" s="1211" t="s">
        <v>474</v>
      </c>
      <c r="E46" s="1211"/>
      <c r="F46" s="1762"/>
      <c r="G46" s="2832">
        <f>SUM(G47:G49)</f>
        <v>2035.5</v>
      </c>
      <c r="H46" s="2832">
        <f>SUM(H47:H49)</f>
        <v>1398.6</v>
      </c>
      <c r="I46" s="2885">
        <f t="shared" si="0"/>
        <v>68.71039056742815</v>
      </c>
    </row>
    <row r="47" spans="1:9" ht="34.5" customHeight="1" thickBot="1">
      <c r="A47" s="2141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2124">
        <v>925</v>
      </c>
      <c r="C47" s="2246" t="s">
        <v>473</v>
      </c>
      <c r="D47" s="1215" t="str">
        <f>'Бюд.р.'!D84</f>
        <v>002  04 00</v>
      </c>
      <c r="E47" s="1215">
        <v>100</v>
      </c>
      <c r="F47" s="2181"/>
      <c r="G47" s="2834">
        <v>817.7</v>
      </c>
      <c r="H47" s="2855">
        <v>502.6</v>
      </c>
      <c r="I47" s="2887">
        <f t="shared" si="0"/>
        <v>61.465084994496756</v>
      </c>
    </row>
    <row r="48" spans="1:9" ht="24.75" customHeight="1" thickBot="1">
      <c r="A48" s="2152" t="str">
        <f>'Бюд.р.'!A89</f>
        <v>Закупка товаров, работ и услуг  для государственных (муниципальных) нужд</v>
      </c>
      <c r="B48" s="2124">
        <v>925</v>
      </c>
      <c r="C48" s="2246" t="s">
        <v>473</v>
      </c>
      <c r="D48" s="1215" t="str">
        <f>'Бюд.р.'!D90</f>
        <v>002 04 00</v>
      </c>
      <c r="E48" s="1215">
        <v>200</v>
      </c>
      <c r="F48" s="2181"/>
      <c r="G48" s="2834">
        <v>1214.6</v>
      </c>
      <c r="H48" s="2855">
        <v>896</v>
      </c>
      <c r="I48" s="2887">
        <f t="shared" si="0"/>
        <v>73.76914210439651</v>
      </c>
    </row>
    <row r="49" spans="1:9" ht="15.75" customHeight="1" thickBot="1">
      <c r="A49" s="2152" t="str">
        <f>'Бюд.р.'!A99</f>
        <v>Иные бюджетные ассигнования</v>
      </c>
      <c r="B49" s="2124">
        <v>925</v>
      </c>
      <c r="C49" s="2246" t="s">
        <v>473</v>
      </c>
      <c r="D49" s="1215" t="s">
        <v>474</v>
      </c>
      <c r="E49" s="1215">
        <v>800</v>
      </c>
      <c r="F49" s="2181"/>
      <c r="G49" s="2834">
        <v>3.2</v>
      </c>
      <c r="H49" s="2855">
        <v>0</v>
      </c>
      <c r="I49" s="2887">
        <f t="shared" si="0"/>
        <v>0</v>
      </c>
    </row>
    <row r="50" spans="1:9" ht="15.75" customHeight="1" hidden="1">
      <c r="A50" s="2235" t="s">
        <v>421</v>
      </c>
      <c r="B50" s="2233" t="s">
        <v>631</v>
      </c>
      <c r="C50" s="2234" t="s">
        <v>925</v>
      </c>
      <c r="D50" s="2240"/>
      <c r="E50" s="2240"/>
      <c r="F50" s="2241"/>
      <c r="G50" s="2828">
        <f>G51</f>
        <v>0</v>
      </c>
      <c r="H50" s="2855"/>
      <c r="I50" s="2884" t="e">
        <f t="shared" si="0"/>
        <v>#DIV/0!</v>
      </c>
    </row>
    <row r="51" spans="1:9" ht="37.5" customHeight="1" hidden="1">
      <c r="A51" s="2149" t="s">
        <v>1008</v>
      </c>
      <c r="B51" s="2122">
        <v>968</v>
      </c>
      <c r="C51" s="2250" t="s">
        <v>925</v>
      </c>
      <c r="D51" s="1211" t="str">
        <f>'Бюд.р.'!D104</f>
        <v>092 05 00</v>
      </c>
      <c r="E51" s="1193"/>
      <c r="F51" s="1564"/>
      <c r="G51" s="2832">
        <f>G52</f>
        <v>0</v>
      </c>
      <c r="H51" s="2855"/>
      <c r="I51" s="2884" t="e">
        <f t="shared" si="0"/>
        <v>#DIV/0!</v>
      </c>
    </row>
    <row r="52" spans="1:9" ht="39.75" customHeight="1" hidden="1" thickBot="1">
      <c r="A52" s="2152" t="str">
        <f>Пцс!B20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B52" s="1919" t="s">
        <v>631</v>
      </c>
      <c r="C52" s="1193" t="s">
        <v>925</v>
      </c>
      <c r="D52" s="1193" t="str">
        <f>'Бюд.р.'!D106</f>
        <v>092 05 00</v>
      </c>
      <c r="E52" s="1193">
        <f>'Бюд.р.'!F106</f>
        <v>853</v>
      </c>
      <c r="F52" s="1564"/>
      <c r="G52" s="2830">
        <f>'Бюд.р.'!H106</f>
        <v>0</v>
      </c>
      <c r="H52" s="2855"/>
      <c r="I52" s="2884" t="e">
        <f t="shared" si="0"/>
        <v>#DIV/0!</v>
      </c>
    </row>
    <row r="53" spans="1:9" ht="15.75" customHeight="1" hidden="1">
      <c r="A53" s="2155" t="s">
        <v>271</v>
      </c>
      <c r="B53" s="2127">
        <v>925</v>
      </c>
      <c r="C53" s="2251">
        <v>700</v>
      </c>
      <c r="D53" s="2102"/>
      <c r="E53" s="2102"/>
      <c r="F53" s="2184"/>
      <c r="G53" s="2835">
        <f>G56</f>
        <v>0</v>
      </c>
      <c r="H53" s="2855"/>
      <c r="I53" s="2884" t="e">
        <f t="shared" si="0"/>
        <v>#DIV/0!</v>
      </c>
    </row>
    <row r="54" spans="1:9" ht="27" customHeight="1" hidden="1">
      <c r="A54" s="2236" t="s">
        <v>1053</v>
      </c>
      <c r="B54" s="2237">
        <v>925</v>
      </c>
      <c r="C54" s="2252" t="s">
        <v>1054</v>
      </c>
      <c r="D54" s="2238"/>
      <c r="E54" s="2238"/>
      <c r="F54" s="2239"/>
      <c r="G54" s="2836">
        <f>G55</f>
        <v>0</v>
      </c>
      <c r="H54" s="2855"/>
      <c r="I54" s="2884" t="e">
        <f t="shared" si="0"/>
        <v>#DIV/0!</v>
      </c>
    </row>
    <row r="55" spans="1:9" ht="15.75" customHeight="1" hidden="1">
      <c r="A55" s="2156" t="s">
        <v>1086</v>
      </c>
      <c r="B55" s="2128">
        <v>925</v>
      </c>
      <c r="C55" s="2245" t="s">
        <v>1054</v>
      </c>
      <c r="D55" s="724" t="s">
        <v>1060</v>
      </c>
      <c r="E55" s="724"/>
      <c r="F55" s="2185"/>
      <c r="G55" s="2482">
        <f>G56</f>
        <v>0</v>
      </c>
      <c r="H55" s="2855"/>
      <c r="I55" s="2884" t="e">
        <f t="shared" si="0"/>
        <v>#DIV/0!</v>
      </c>
    </row>
    <row r="56" spans="1:9" ht="46.5" customHeight="1" hidden="1">
      <c r="A56" s="2157" t="s">
        <v>1126</v>
      </c>
      <c r="B56" s="1657">
        <v>925</v>
      </c>
      <c r="C56" s="1986" t="s">
        <v>1054</v>
      </c>
      <c r="D56" s="1656" t="s">
        <v>1062</v>
      </c>
      <c r="E56" s="1656"/>
      <c r="F56" s="2185"/>
      <c r="G56" s="2482">
        <f>G57</f>
        <v>0</v>
      </c>
      <c r="H56" s="2855"/>
      <c r="I56" s="2884" t="e">
        <f t="shared" si="0"/>
        <v>#DIV/0!</v>
      </c>
    </row>
    <row r="57" spans="1:9" ht="15.75" customHeight="1" hidden="1" thickBot="1">
      <c r="A57" s="2214" t="s">
        <v>1063</v>
      </c>
      <c r="B57" s="2215">
        <v>925</v>
      </c>
      <c r="C57" s="2253" t="s">
        <v>1054</v>
      </c>
      <c r="D57" s="870" t="s">
        <v>1062</v>
      </c>
      <c r="E57" s="870">
        <v>244</v>
      </c>
      <c r="F57" s="2216"/>
      <c r="G57" s="2837">
        <v>0</v>
      </c>
      <c r="H57" s="2855"/>
      <c r="I57" s="2884" t="e">
        <f t="shared" si="0"/>
        <v>#DIV/0!</v>
      </c>
    </row>
    <row r="58" spans="1:9" ht="18.75" customHeight="1" thickBot="1">
      <c r="A58" s="2225" t="s">
        <v>457</v>
      </c>
      <c r="B58" s="2226" t="s">
        <v>631</v>
      </c>
      <c r="C58" s="2227"/>
      <c r="D58" s="2227"/>
      <c r="E58" s="2227"/>
      <c r="F58" s="2228"/>
      <c r="G58" s="2838">
        <f>G60+G70++G73+G94+G116+G122+G126+G180+G186+G197+G203+G206+G211+G214+G228+G234</f>
        <v>120280.19999999998</v>
      </c>
      <c r="H58" s="2838">
        <f>H60+H70++H73+H94+H116+H122+H126+H180+H186+H197+H203+H206+H211+H214+H228+H234</f>
        <v>72829.79999999999</v>
      </c>
      <c r="I58" s="2884">
        <f t="shared" si="0"/>
        <v>60.55011548035337</v>
      </c>
    </row>
    <row r="59" spans="1:9" ht="15.75" customHeight="1" hidden="1" thickBot="1">
      <c r="A59" s="2210" t="s">
        <v>111</v>
      </c>
      <c r="B59" s="2211" t="s">
        <v>631</v>
      </c>
      <c r="C59" s="2212" t="s">
        <v>456</v>
      </c>
      <c r="D59" s="2212"/>
      <c r="E59" s="2212"/>
      <c r="F59" s="2213"/>
      <c r="G59" s="2827">
        <f>G60+G70+G73</f>
        <v>31436.999999999996</v>
      </c>
      <c r="H59" s="2827">
        <f>H60+H70+H73</f>
        <v>18157.499999999996</v>
      </c>
      <c r="I59" s="2884">
        <f t="shared" si="0"/>
        <v>57.75837389063842</v>
      </c>
    </row>
    <row r="60" spans="1:9" ht="64.5" customHeight="1" thickBot="1">
      <c r="A60" s="2866" t="s">
        <v>922</v>
      </c>
      <c r="B60" s="2862" t="s">
        <v>631</v>
      </c>
      <c r="C60" s="2863" t="s">
        <v>475</v>
      </c>
      <c r="D60" s="2863"/>
      <c r="E60" s="2863"/>
      <c r="F60" s="2864"/>
      <c r="G60" s="2865">
        <f>G61+G63+G68</f>
        <v>26767.599999999995</v>
      </c>
      <c r="H60" s="2865">
        <f>H61+H63+H68</f>
        <v>17735.499999999996</v>
      </c>
      <c r="I60" s="2886">
        <f t="shared" si="0"/>
        <v>66.25734096444957</v>
      </c>
    </row>
    <row r="61" spans="1:9" ht="14.25" customHeight="1" thickBot="1">
      <c r="A61" s="2145" t="s">
        <v>96</v>
      </c>
      <c r="B61" s="2119" t="s">
        <v>631</v>
      </c>
      <c r="C61" s="1189" t="s">
        <v>475</v>
      </c>
      <c r="D61" s="1189" t="s">
        <v>476</v>
      </c>
      <c r="E61" s="2103"/>
      <c r="F61" s="2186"/>
      <c r="G61" s="2832">
        <f>G62</f>
        <v>1117.6</v>
      </c>
      <c r="H61" s="2832">
        <f>H62</f>
        <v>812.4</v>
      </c>
      <c r="I61" s="2885">
        <f t="shared" si="0"/>
        <v>72.69148174659986</v>
      </c>
    </row>
    <row r="62" spans="1:9" ht="45" customHeight="1" thickBot="1">
      <c r="A62" s="2141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1919" t="s">
        <v>631</v>
      </c>
      <c r="C62" s="1193" t="s">
        <v>475</v>
      </c>
      <c r="D62" s="1193" t="s">
        <v>476</v>
      </c>
      <c r="E62" s="1193">
        <v>100</v>
      </c>
      <c r="F62" s="2186"/>
      <c r="G62" s="2834">
        <v>1117.6</v>
      </c>
      <c r="H62" s="2855">
        <v>812.4</v>
      </c>
      <c r="I62" s="2887">
        <f t="shared" si="0"/>
        <v>72.69148174659986</v>
      </c>
    </row>
    <row r="63" spans="1:9" ht="26.25" customHeight="1" thickBot="1">
      <c r="A63" s="2696" t="s">
        <v>65</v>
      </c>
      <c r="B63" s="2119" t="s">
        <v>631</v>
      </c>
      <c r="C63" s="1189" t="s">
        <v>475</v>
      </c>
      <c r="D63" s="1189" t="s">
        <v>63</v>
      </c>
      <c r="E63" s="1189"/>
      <c r="F63" s="1763"/>
      <c r="G63" s="2832">
        <f>G64+G65+G66+G67</f>
        <v>25644.399999999998</v>
      </c>
      <c r="H63" s="2832">
        <f>H64+H65+H66+H67</f>
        <v>16917.499999999996</v>
      </c>
      <c r="I63" s="2885">
        <f t="shared" si="0"/>
        <v>65.96956840479791</v>
      </c>
    </row>
    <row r="64" spans="1:9" ht="47.25" customHeight="1" thickBot="1">
      <c r="A64" s="2141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4" s="2124">
        <v>968</v>
      </c>
      <c r="C64" s="2246" t="s">
        <v>475</v>
      </c>
      <c r="D64" s="1215" t="s">
        <v>63</v>
      </c>
      <c r="E64" s="1215">
        <v>100</v>
      </c>
      <c r="F64" s="1575"/>
      <c r="G64" s="2834">
        <v>19631.7</v>
      </c>
      <c r="H64" s="2855">
        <v>13978.1</v>
      </c>
      <c r="I64" s="2887">
        <f t="shared" si="0"/>
        <v>71.20167891726138</v>
      </c>
    </row>
    <row r="65" spans="1:9" ht="24" customHeight="1" thickBot="1">
      <c r="A65" s="2152" t="str">
        <f>'Бюд.р.'!A165</f>
        <v>Закупка товаров, работ и услуг  для государственных (муниципальных) нужд</v>
      </c>
      <c r="B65" s="2124">
        <f>'Бюд.р.'!B166</f>
        <v>968</v>
      </c>
      <c r="C65" s="2246" t="s">
        <v>475</v>
      </c>
      <c r="D65" s="1215" t="str">
        <f>'Бюд.р.'!D166</f>
        <v>002  06 01</v>
      </c>
      <c r="E65" s="1215">
        <v>200</v>
      </c>
      <c r="F65" s="1575"/>
      <c r="G65" s="2834">
        <v>5925</v>
      </c>
      <c r="H65" s="2855">
        <v>2874.5</v>
      </c>
      <c r="I65" s="2887">
        <f t="shared" si="0"/>
        <v>48.51476793248945</v>
      </c>
    </row>
    <row r="66" spans="1:9" ht="16.5" customHeight="1" thickBot="1">
      <c r="A66" s="2152" t="str">
        <f>'Бюд.р.'!A187</f>
        <v>Социальное обеспечение и иные выплаты населению</v>
      </c>
      <c r="B66" s="2124">
        <v>968</v>
      </c>
      <c r="C66" s="2246" t="s">
        <v>475</v>
      </c>
      <c r="D66" s="1215" t="str">
        <f>'Бюд.р.'!D188</f>
        <v>002  06 01</v>
      </c>
      <c r="E66" s="1215">
        <v>300</v>
      </c>
      <c r="F66" s="1575"/>
      <c r="G66" s="2834">
        <v>57.1</v>
      </c>
      <c r="H66" s="2855">
        <v>57.1</v>
      </c>
      <c r="I66" s="2887">
        <f t="shared" si="0"/>
        <v>100</v>
      </c>
    </row>
    <row r="67" spans="1:9" ht="12.75" customHeight="1" thickBot="1">
      <c r="A67" s="2152" t="str">
        <f>'Бюд.р.'!A201</f>
        <v>Иные бюджетные ассигнования</v>
      </c>
      <c r="B67" s="2124">
        <v>968</v>
      </c>
      <c r="C67" s="2246" t="s">
        <v>475</v>
      </c>
      <c r="D67" s="1215" t="s">
        <v>63</v>
      </c>
      <c r="E67" s="1215">
        <v>800</v>
      </c>
      <c r="F67" s="1575"/>
      <c r="G67" s="2834">
        <v>30.6</v>
      </c>
      <c r="H67" s="2855">
        <v>7.8</v>
      </c>
      <c r="I67" s="2887">
        <f t="shared" si="0"/>
        <v>25.49019607843137</v>
      </c>
    </row>
    <row r="68" spans="1:9" ht="34.5" customHeight="1" thickBot="1">
      <c r="A68" s="2149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B68" s="2122">
        <v>968</v>
      </c>
      <c r="C68" s="2250" t="s">
        <v>475</v>
      </c>
      <c r="D68" s="1211" t="str">
        <f>'Бюд.р.'!D208</f>
        <v>002  80 10</v>
      </c>
      <c r="E68" s="1211"/>
      <c r="F68" s="1763"/>
      <c r="G68" s="2832">
        <f>G69</f>
        <v>5.6</v>
      </c>
      <c r="H68" s="2832">
        <f>H69</f>
        <v>5.6</v>
      </c>
      <c r="I68" s="2885">
        <f t="shared" si="0"/>
        <v>100</v>
      </c>
    </row>
    <row r="69" spans="1:9" ht="25.5" customHeight="1" thickBot="1">
      <c r="A69" s="2152" t="str">
        <f>'Бюд.р.'!A209</f>
        <v>Закупка товаров, работ и услуг  для государственных (муниципальных) нужд</v>
      </c>
      <c r="B69" s="2124">
        <v>968</v>
      </c>
      <c r="C69" s="2246" t="s">
        <v>475</v>
      </c>
      <c r="D69" s="1215" t="str">
        <f>'Бюд.р.'!D210</f>
        <v>002  80 10</v>
      </c>
      <c r="E69" s="1215">
        <v>200</v>
      </c>
      <c r="F69" s="1575"/>
      <c r="G69" s="2834">
        <v>5.6</v>
      </c>
      <c r="H69" s="2855">
        <v>5.6</v>
      </c>
      <c r="I69" s="2887">
        <f t="shared" si="0"/>
        <v>100</v>
      </c>
    </row>
    <row r="70" spans="1:9" ht="13.5" thickBot="1">
      <c r="A70" s="2867" t="s">
        <v>26</v>
      </c>
      <c r="B70" s="2862">
        <v>968</v>
      </c>
      <c r="C70" s="2868" t="s">
        <v>1267</v>
      </c>
      <c r="D70" s="2863"/>
      <c r="E70" s="2863"/>
      <c r="F70" s="2869"/>
      <c r="G70" s="2865">
        <f>G71</f>
        <v>3393.4</v>
      </c>
      <c r="H70" s="2865">
        <f>H71</f>
        <v>0</v>
      </c>
      <c r="I70" s="2886">
        <f t="shared" si="0"/>
        <v>0</v>
      </c>
    </row>
    <row r="71" spans="1:9" ht="13.5" thickBot="1">
      <c r="A71" s="2151" t="s">
        <v>27</v>
      </c>
      <c r="B71" s="2122">
        <v>968</v>
      </c>
      <c r="C71" s="2250" t="s">
        <v>1267</v>
      </c>
      <c r="D71" s="1211" t="str">
        <f>'ВЕД.СТ Пр.2.'!F72</f>
        <v>070 01 00</v>
      </c>
      <c r="E71" s="1211"/>
      <c r="F71" s="2187"/>
      <c r="G71" s="2833">
        <f>G72</f>
        <v>3393.4</v>
      </c>
      <c r="H71" s="2833">
        <f>H72</f>
        <v>0</v>
      </c>
      <c r="I71" s="2885">
        <f t="shared" si="0"/>
        <v>0</v>
      </c>
    </row>
    <row r="72" spans="1:9" ht="13.5" thickBot="1">
      <c r="A72" s="2152" t="str">
        <f>'Бюд.р.'!A222</f>
        <v>Иные бюджетные ассигнования</v>
      </c>
      <c r="B72" s="2124">
        <v>968</v>
      </c>
      <c r="C72" s="2246" t="s">
        <v>1267</v>
      </c>
      <c r="D72" s="1215" t="str">
        <f>'Бюд.р.'!D223</f>
        <v>070 01 01</v>
      </c>
      <c r="E72" s="1215">
        <v>800</v>
      </c>
      <c r="F72" s="2182"/>
      <c r="G72" s="2834">
        <v>3393.4</v>
      </c>
      <c r="H72" s="2855">
        <v>0</v>
      </c>
      <c r="I72" s="2887">
        <f t="shared" si="0"/>
        <v>0</v>
      </c>
    </row>
    <row r="73" spans="1:9" ht="12" customHeight="1" thickBot="1">
      <c r="A73" s="2866" t="s">
        <v>421</v>
      </c>
      <c r="B73" s="2862" t="s">
        <v>631</v>
      </c>
      <c r="C73" s="2863" t="s">
        <v>925</v>
      </c>
      <c r="D73" s="2870"/>
      <c r="E73" s="2870"/>
      <c r="F73" s="2871"/>
      <c r="G73" s="2865">
        <f>G74+G81+G83+G85+G87+G89+G92</f>
        <v>1276</v>
      </c>
      <c r="H73" s="2865">
        <f>H74+H81+H83+H85+H87+H89+H92</f>
        <v>422</v>
      </c>
      <c r="I73" s="2886">
        <f t="shared" si="0"/>
        <v>33.07210031347962</v>
      </c>
    </row>
    <row r="74" spans="1:9" ht="34.5" customHeight="1" thickBot="1">
      <c r="A74" s="2149" t="s">
        <v>1007</v>
      </c>
      <c r="B74" s="2119" t="s">
        <v>631</v>
      </c>
      <c r="C74" s="1189" t="s">
        <v>925</v>
      </c>
      <c r="D74" s="1232" t="str">
        <f>D75</f>
        <v>090 01 00</v>
      </c>
      <c r="E74" s="1189"/>
      <c r="F74" s="1764"/>
      <c r="G74" s="2832">
        <f>G75</f>
        <v>109.7</v>
      </c>
      <c r="H74" s="2832">
        <f>H75</f>
        <v>0</v>
      </c>
      <c r="I74" s="2885">
        <f t="shared" si="0"/>
        <v>0</v>
      </c>
    </row>
    <row r="75" spans="1:9" ht="25.5" customHeight="1" thickBot="1">
      <c r="A75" s="2152" t="str">
        <f>'Бюд.р.'!A228</f>
        <v>Закупка товаров, работ и услуг  для государственных (муниципальных) нужд</v>
      </c>
      <c r="B75" s="1919" t="s">
        <v>631</v>
      </c>
      <c r="C75" s="1193" t="s">
        <v>925</v>
      </c>
      <c r="D75" s="1193" t="s">
        <v>1005</v>
      </c>
      <c r="E75" s="1193">
        <v>200</v>
      </c>
      <c r="F75" s="2179"/>
      <c r="G75" s="2830">
        <v>109.7</v>
      </c>
      <c r="H75" s="2855">
        <v>0</v>
      </c>
      <c r="I75" s="2887">
        <f t="shared" si="0"/>
        <v>0</v>
      </c>
    </row>
    <row r="76" spans="1:9" ht="57" customHeight="1" hidden="1">
      <c r="A76" s="2145" t="s">
        <v>425</v>
      </c>
      <c r="B76" s="2119" t="s">
        <v>631</v>
      </c>
      <c r="C76" s="1189" t="s">
        <v>925</v>
      </c>
      <c r="D76" s="1232" t="s">
        <v>255</v>
      </c>
      <c r="E76" s="2104"/>
      <c r="F76" s="1762"/>
      <c r="G76" s="2832">
        <f>SUM(G77:G80)</f>
        <v>0</v>
      </c>
      <c r="H76" s="2855"/>
      <c r="I76" s="2885" t="e">
        <f t="shared" si="0"/>
        <v>#DIV/0!</v>
      </c>
    </row>
    <row r="77" spans="1:9" ht="14.25" customHeight="1" hidden="1">
      <c r="A77" s="2141" t="s">
        <v>426</v>
      </c>
      <c r="B77" s="1919" t="s">
        <v>631</v>
      </c>
      <c r="C77" s="1193" t="s">
        <v>925</v>
      </c>
      <c r="D77" s="1193" t="s">
        <v>255</v>
      </c>
      <c r="E77" s="1193" t="s">
        <v>800</v>
      </c>
      <c r="F77" s="1564"/>
      <c r="G77" s="2830">
        <f>'Бюд.р.'!H233</f>
        <v>0</v>
      </c>
      <c r="H77" s="2855"/>
      <c r="I77" s="2885" t="e">
        <f t="shared" si="0"/>
        <v>#DIV/0!</v>
      </c>
    </row>
    <row r="78" spans="1:9" ht="23.25" customHeight="1" hidden="1">
      <c r="A78" s="2158" t="s">
        <v>580</v>
      </c>
      <c r="B78" s="2119" t="s">
        <v>631</v>
      </c>
      <c r="C78" s="1189" t="s">
        <v>422</v>
      </c>
      <c r="D78" s="1232" t="s">
        <v>460</v>
      </c>
      <c r="E78" s="1189"/>
      <c r="F78" s="1762"/>
      <c r="G78" s="2832">
        <f>G79</f>
        <v>0</v>
      </c>
      <c r="H78" s="2855"/>
      <c r="I78" s="2885" t="e">
        <f t="shared" si="0"/>
        <v>#DIV/0!</v>
      </c>
    </row>
    <row r="79" spans="1:9" ht="16.5" customHeight="1" hidden="1">
      <c r="A79" s="2141" t="s">
        <v>426</v>
      </c>
      <c r="B79" s="1919" t="s">
        <v>631</v>
      </c>
      <c r="C79" s="1193" t="s">
        <v>422</v>
      </c>
      <c r="D79" s="1193" t="s">
        <v>460</v>
      </c>
      <c r="E79" s="1193" t="s">
        <v>800</v>
      </c>
      <c r="F79" s="1564"/>
      <c r="G79" s="2830"/>
      <c r="H79" s="2855"/>
      <c r="I79" s="2885" t="e">
        <f t="shared" si="0"/>
        <v>#DIV/0!</v>
      </c>
    </row>
    <row r="80" spans="1:9" ht="13.5" customHeight="1" hidden="1">
      <c r="A80" s="2141" t="s">
        <v>932</v>
      </c>
      <c r="B80" s="1919" t="s">
        <v>631</v>
      </c>
      <c r="C80" s="1193" t="s">
        <v>925</v>
      </c>
      <c r="D80" s="1193" t="s">
        <v>255</v>
      </c>
      <c r="E80" s="1193">
        <f>'Бюд.р.'!F237</f>
        <v>630</v>
      </c>
      <c r="F80" s="1564"/>
      <c r="G80" s="2830">
        <f>'Бюд.р.'!H237</f>
        <v>0</v>
      </c>
      <c r="H80" s="2855"/>
      <c r="I80" s="2885" t="e">
        <f t="shared" si="0"/>
        <v>#DIV/0!</v>
      </c>
    </row>
    <row r="81" spans="1:9" ht="28.5" customHeight="1" thickBot="1">
      <c r="A81" s="2149" t="str">
        <f>'Бюд.р.'!A240</f>
        <v>РАСХОДЫ НА ОСУЩЕСТВЛЕНИЕ ЗАКУПОК ТОВАРОВ, РАБОТ, УСЛУГ ДЛЯ ОБЕСПЕЧЕНИЯ МУНИЦИПАЛЬНЫХ НУЖД</v>
      </c>
      <c r="B81" s="2123">
        <v>968</v>
      </c>
      <c r="C81" s="2245" t="s">
        <v>925</v>
      </c>
      <c r="D81" s="1213" t="str">
        <f>D82</f>
        <v>092 02 00</v>
      </c>
      <c r="E81" s="1213"/>
      <c r="F81" s="2180"/>
      <c r="G81" s="2833">
        <f>G82</f>
        <v>400</v>
      </c>
      <c r="H81" s="2833">
        <f>H82</f>
        <v>120</v>
      </c>
      <c r="I81" s="2885">
        <f t="shared" si="0"/>
        <v>30</v>
      </c>
    </row>
    <row r="82" spans="1:9" ht="24.75" customHeight="1" thickBot="1">
      <c r="A82" s="2152" t="str">
        <f>'Бюд.р.'!A241</f>
        <v>Закупка товаров, работ и услуг  для государственных (муниципальных) нужд</v>
      </c>
      <c r="B82" s="2124">
        <v>968</v>
      </c>
      <c r="C82" s="2246" t="s">
        <v>925</v>
      </c>
      <c r="D82" s="1215" t="s">
        <v>571</v>
      </c>
      <c r="E82" s="1215">
        <v>200</v>
      </c>
      <c r="F82" s="1575"/>
      <c r="G82" s="2834">
        <v>400</v>
      </c>
      <c r="H82" s="2855">
        <v>120</v>
      </c>
      <c r="I82" s="2887">
        <f t="shared" si="0"/>
        <v>30</v>
      </c>
    </row>
    <row r="83" spans="1:9" ht="36.75" customHeight="1" thickBot="1">
      <c r="A83" s="2149" t="s">
        <v>1008</v>
      </c>
      <c r="B83" s="2122">
        <v>968</v>
      </c>
      <c r="C83" s="2250" t="s">
        <v>925</v>
      </c>
      <c r="D83" s="1211" t="str">
        <f>D84</f>
        <v>092 05 00</v>
      </c>
      <c r="E83" s="1193"/>
      <c r="F83" s="1564"/>
      <c r="G83" s="2832">
        <f>G84</f>
        <v>72</v>
      </c>
      <c r="H83" s="2832">
        <f>H84</f>
        <v>54</v>
      </c>
      <c r="I83" s="2885">
        <f t="shared" si="0"/>
        <v>75</v>
      </c>
    </row>
    <row r="84" spans="1:9" ht="15" customHeight="1" thickBot="1">
      <c r="A84" s="2152" t="str">
        <f>'Бюд.р.'!A246</f>
        <v>Иные бюджетные ассигнования</v>
      </c>
      <c r="B84" s="1919" t="s">
        <v>631</v>
      </c>
      <c r="C84" s="1193" t="s">
        <v>925</v>
      </c>
      <c r="D84" s="1193" t="s">
        <v>469</v>
      </c>
      <c r="E84" s="1193">
        <v>800</v>
      </c>
      <c r="F84" s="1564"/>
      <c r="G84" s="2830">
        <v>72</v>
      </c>
      <c r="H84" s="2855">
        <v>54</v>
      </c>
      <c r="I84" s="2887">
        <f t="shared" si="0"/>
        <v>75</v>
      </c>
    </row>
    <row r="85" spans="1:9" ht="46.5" customHeight="1" thickBot="1">
      <c r="A85" s="2149" t="s">
        <v>1009</v>
      </c>
      <c r="B85" s="2123">
        <v>968</v>
      </c>
      <c r="C85" s="2245" t="s">
        <v>925</v>
      </c>
      <c r="D85" s="1213" t="str">
        <f>D86</f>
        <v>092 06 00</v>
      </c>
      <c r="E85" s="1213"/>
      <c r="F85" s="2180"/>
      <c r="G85" s="2833">
        <f>G86</f>
        <v>333.9</v>
      </c>
      <c r="H85" s="2833">
        <f>H86</f>
        <v>99</v>
      </c>
      <c r="I85" s="2885">
        <f t="shared" si="0"/>
        <v>29.649595687331537</v>
      </c>
    </row>
    <row r="86" spans="1:9" ht="26.25" customHeight="1" thickBot="1">
      <c r="A86" s="2152" t="str">
        <f>'Бюд.р.'!A251</f>
        <v>Закупка товаров, работ и услуг  для государственных (муниципальных) нужд</v>
      </c>
      <c r="B86" s="2124">
        <v>968</v>
      </c>
      <c r="C86" s="2246" t="s">
        <v>925</v>
      </c>
      <c r="D86" s="1215" t="s">
        <v>1010</v>
      </c>
      <c r="E86" s="1215">
        <v>200</v>
      </c>
      <c r="F86" s="1575"/>
      <c r="G86" s="2834">
        <v>333.9</v>
      </c>
      <c r="H86" s="2855">
        <v>99</v>
      </c>
      <c r="I86" s="2887">
        <f aca="true" t="shared" si="1" ref="I86:I151">H86/G86*100</f>
        <v>29.649595687331537</v>
      </c>
    </row>
    <row r="87" spans="1:9" ht="20.25" customHeight="1" thickBot="1">
      <c r="A87" s="2150" t="str">
        <f>'Бюд.р.'!A261</f>
        <v>РАСХОДЫ НА ОСУЩЕСТВЛЕНИЕ ЗАЩИТЫ ПРАВ ПОТРЕБИТЕЛЕЙ</v>
      </c>
      <c r="B87" s="2695">
        <f>'Бюд.р.'!B261</f>
        <v>968</v>
      </c>
      <c r="C87" s="2245" t="s">
        <v>925</v>
      </c>
      <c r="D87" s="1213" t="str">
        <f>'Бюд.р.'!D261</f>
        <v>092 10 00</v>
      </c>
      <c r="E87" s="1213"/>
      <c r="F87" s="2180"/>
      <c r="G87" s="2833">
        <f>G88</f>
        <v>133.9</v>
      </c>
      <c r="H87" s="2833">
        <f>H88</f>
        <v>0</v>
      </c>
      <c r="I87" s="2885">
        <f t="shared" si="1"/>
        <v>0</v>
      </c>
    </row>
    <row r="88" spans="1:9" ht="26.25" customHeight="1" thickBot="1">
      <c r="A88" s="2152" t="str">
        <f>'Бюд.р.'!A262</f>
        <v>Закупка товаров, работ и услуг  для государственных (муниципальных) нужд</v>
      </c>
      <c r="B88" s="2124">
        <f>'Бюд.р.'!B262</f>
        <v>968</v>
      </c>
      <c r="C88" s="2246" t="s">
        <v>925</v>
      </c>
      <c r="D88" s="1215" t="str">
        <f>'Бюд.р.'!D262</f>
        <v>092 10 00</v>
      </c>
      <c r="E88" s="1215">
        <v>200</v>
      </c>
      <c r="F88" s="1575"/>
      <c r="G88" s="2834">
        <v>133.9</v>
      </c>
      <c r="H88" s="2855">
        <v>0</v>
      </c>
      <c r="I88" s="2887">
        <f t="shared" si="1"/>
        <v>0</v>
      </c>
    </row>
    <row r="89" spans="1:9" ht="23.25" thickBot="1">
      <c r="A89" s="2149" t="s">
        <v>1015</v>
      </c>
      <c r="B89" s="2122">
        <v>968</v>
      </c>
      <c r="C89" s="2250" t="s">
        <v>925</v>
      </c>
      <c r="D89" s="1211" t="str">
        <f>D90</f>
        <v>795 02 00</v>
      </c>
      <c r="E89" s="2105"/>
      <c r="F89" s="1763"/>
      <c r="G89" s="2832">
        <f>G90</f>
        <v>90</v>
      </c>
      <c r="H89" s="2832">
        <f>H90</f>
        <v>63</v>
      </c>
      <c r="I89" s="2885">
        <f t="shared" si="1"/>
        <v>70</v>
      </c>
    </row>
    <row r="90" spans="1:9" ht="25.5" customHeight="1" thickBot="1">
      <c r="A90" s="2152" t="str">
        <f>'Бюд.р.'!A267</f>
        <v>Закупка товаров, работ и услуг  для государственных (муниципальных) нужд</v>
      </c>
      <c r="B90" s="2124">
        <v>968</v>
      </c>
      <c r="C90" s="2246" t="s">
        <v>925</v>
      </c>
      <c r="D90" s="1215" t="s">
        <v>1013</v>
      </c>
      <c r="E90" s="1215">
        <v>200</v>
      </c>
      <c r="F90" s="1575"/>
      <c r="G90" s="2834">
        <v>90</v>
      </c>
      <c r="H90" s="2855">
        <v>63</v>
      </c>
      <c r="I90" s="2887">
        <f t="shared" si="1"/>
        <v>70</v>
      </c>
    </row>
    <row r="91" spans="1:9" ht="26.25" hidden="1" thickBot="1">
      <c r="A91" s="2143" t="s">
        <v>262</v>
      </c>
      <c r="B91" s="2117" t="s">
        <v>631</v>
      </c>
      <c r="C91" s="2100" t="s">
        <v>468</v>
      </c>
      <c r="D91" s="2100"/>
      <c r="E91" s="2106"/>
      <c r="F91" s="2189"/>
      <c r="G91" s="2839">
        <f>G94</f>
        <v>276.3</v>
      </c>
      <c r="H91" s="2855"/>
      <c r="I91" s="2885">
        <f t="shared" si="1"/>
        <v>0</v>
      </c>
    </row>
    <row r="92" spans="1:9" ht="60" customHeight="1" thickBot="1">
      <c r="A92" s="2149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B92" s="2122">
        <v>968</v>
      </c>
      <c r="C92" s="2250" t="s">
        <v>925</v>
      </c>
      <c r="D92" s="1211" t="str">
        <f>'Бюд.р.'!D273</f>
        <v>795 11 00</v>
      </c>
      <c r="E92" s="2105"/>
      <c r="F92" s="1763"/>
      <c r="G92" s="2832">
        <f>G93</f>
        <v>136.5</v>
      </c>
      <c r="H92" s="2832">
        <f>H93</f>
        <v>86</v>
      </c>
      <c r="I92" s="2885">
        <f t="shared" si="1"/>
        <v>63.003663003663</v>
      </c>
    </row>
    <row r="93" spans="1:9" ht="23.25" thickBot="1">
      <c r="A93" s="2152" t="str">
        <f>'Бюд.р.'!A274</f>
        <v>Закупка товаров, работ и услуг  для государственных (муниципальных) нужд</v>
      </c>
      <c r="B93" s="2124">
        <v>968</v>
      </c>
      <c r="C93" s="2246" t="s">
        <v>925</v>
      </c>
      <c r="D93" s="1215" t="str">
        <f>'Бюд.р.'!D274</f>
        <v>795 11 00</v>
      </c>
      <c r="E93" s="1215">
        <v>200</v>
      </c>
      <c r="F93" s="1575"/>
      <c r="G93" s="2834">
        <v>136.5</v>
      </c>
      <c r="H93" s="2855">
        <v>86</v>
      </c>
      <c r="I93" s="2887">
        <f t="shared" si="1"/>
        <v>63.003663003663</v>
      </c>
    </row>
    <row r="94" spans="1:9" ht="40.5" customHeight="1" thickBot="1">
      <c r="A94" s="2861" t="s">
        <v>924</v>
      </c>
      <c r="B94" s="2862" t="s">
        <v>631</v>
      </c>
      <c r="C94" s="2863" t="s">
        <v>419</v>
      </c>
      <c r="D94" s="2872"/>
      <c r="E94" s="2872"/>
      <c r="F94" s="2873"/>
      <c r="G94" s="2865">
        <f>G105+G113</f>
        <v>276.3</v>
      </c>
      <c r="H94" s="2865">
        <f>H105+H113</f>
        <v>162</v>
      </c>
      <c r="I94" s="2886">
        <f t="shared" si="1"/>
        <v>58.631921824104225</v>
      </c>
    </row>
    <row r="95" spans="1:9" ht="13.5" hidden="1" thickBot="1">
      <c r="A95" s="2145" t="s">
        <v>275</v>
      </c>
      <c r="B95" s="2121"/>
      <c r="C95" s="1196" t="s">
        <v>438</v>
      </c>
      <c r="D95" s="1196" t="s">
        <v>817</v>
      </c>
      <c r="E95" s="1196" t="s">
        <v>801</v>
      </c>
      <c r="F95" s="2176" t="s">
        <v>276</v>
      </c>
      <c r="G95" s="2831"/>
      <c r="H95" s="2831"/>
      <c r="I95" s="2884" t="e">
        <f t="shared" si="1"/>
        <v>#DIV/0!</v>
      </c>
    </row>
    <row r="96" spans="1:9" ht="13.5" hidden="1" thickBot="1">
      <c r="A96" s="2146" t="s">
        <v>295</v>
      </c>
      <c r="B96" s="2121"/>
      <c r="C96" s="1204" t="s">
        <v>438</v>
      </c>
      <c r="D96" s="1204" t="s">
        <v>817</v>
      </c>
      <c r="E96" s="1204" t="s">
        <v>801</v>
      </c>
      <c r="F96" s="2178" t="s">
        <v>450</v>
      </c>
      <c r="G96" s="2831"/>
      <c r="H96" s="2831"/>
      <c r="I96" s="2884" t="e">
        <f t="shared" si="1"/>
        <v>#DIV/0!</v>
      </c>
    </row>
    <row r="97" spans="1:9" ht="13.5" hidden="1" thickBot="1">
      <c r="A97" s="2159" t="s">
        <v>124</v>
      </c>
      <c r="B97" s="2121"/>
      <c r="C97" s="1204" t="s">
        <v>438</v>
      </c>
      <c r="D97" s="1204" t="s">
        <v>817</v>
      </c>
      <c r="E97" s="1204" t="s">
        <v>801</v>
      </c>
      <c r="F97" s="2178" t="s">
        <v>799</v>
      </c>
      <c r="G97" s="2831"/>
      <c r="H97" s="2831"/>
      <c r="I97" s="2884" t="e">
        <f t="shared" si="1"/>
        <v>#DIV/0!</v>
      </c>
    </row>
    <row r="98" spans="1:9" ht="27.75" customHeight="1" hidden="1" thickBot="1">
      <c r="A98" s="2153" t="s">
        <v>752</v>
      </c>
      <c r="B98" s="2119"/>
      <c r="C98" s="1189" t="s">
        <v>438</v>
      </c>
      <c r="D98" s="1189" t="s">
        <v>579</v>
      </c>
      <c r="E98" s="1189"/>
      <c r="F98" s="1762"/>
      <c r="G98" s="2831"/>
      <c r="H98" s="2831"/>
      <c r="I98" s="2884" t="e">
        <f t="shared" si="1"/>
        <v>#DIV/0!</v>
      </c>
    </row>
    <row r="99" spans="1:9" ht="13.5" hidden="1" thickBot="1">
      <c r="A99" s="2145" t="s">
        <v>166</v>
      </c>
      <c r="B99" s="2130"/>
      <c r="C99" s="1227" t="s">
        <v>438</v>
      </c>
      <c r="D99" s="1227" t="s">
        <v>579</v>
      </c>
      <c r="E99" s="1227" t="s">
        <v>801</v>
      </c>
      <c r="F99" s="1563"/>
      <c r="G99" s="2831"/>
      <c r="H99" s="2831"/>
      <c r="I99" s="2884" t="e">
        <f t="shared" si="1"/>
        <v>#DIV/0!</v>
      </c>
    </row>
    <row r="100" spans="1:9" ht="13.5" hidden="1" thickBot="1">
      <c r="A100" s="2145" t="s">
        <v>275</v>
      </c>
      <c r="B100" s="2132"/>
      <c r="C100" s="1196" t="s">
        <v>438</v>
      </c>
      <c r="D100" s="1196" t="s">
        <v>579</v>
      </c>
      <c r="E100" s="1196" t="s">
        <v>801</v>
      </c>
      <c r="F100" s="2176" t="s">
        <v>276</v>
      </c>
      <c r="G100" s="2831"/>
      <c r="H100" s="2831"/>
      <c r="I100" s="2884" t="e">
        <f t="shared" si="1"/>
        <v>#DIV/0!</v>
      </c>
    </row>
    <row r="101" spans="1:9" ht="13.5" hidden="1" thickBot="1">
      <c r="A101" s="2146" t="s">
        <v>295</v>
      </c>
      <c r="B101" s="2120"/>
      <c r="C101" s="1204" t="s">
        <v>438</v>
      </c>
      <c r="D101" s="1204" t="s">
        <v>579</v>
      </c>
      <c r="E101" s="1204" t="s">
        <v>801</v>
      </c>
      <c r="F101" s="2178" t="s">
        <v>450</v>
      </c>
      <c r="G101" s="2831"/>
      <c r="H101" s="2831"/>
      <c r="I101" s="2884" t="e">
        <f t="shared" si="1"/>
        <v>#DIV/0!</v>
      </c>
    </row>
    <row r="102" spans="1:9" ht="13.5" hidden="1" thickBot="1">
      <c r="A102" s="2159" t="s">
        <v>124</v>
      </c>
      <c r="B102" s="2120"/>
      <c r="C102" s="1204" t="s">
        <v>438</v>
      </c>
      <c r="D102" s="1204" t="s">
        <v>579</v>
      </c>
      <c r="E102" s="1204" t="s">
        <v>801</v>
      </c>
      <c r="F102" s="2178" t="s">
        <v>799</v>
      </c>
      <c r="G102" s="2831"/>
      <c r="H102" s="2831"/>
      <c r="I102" s="2884" t="e">
        <f t="shared" si="1"/>
        <v>#DIV/0!</v>
      </c>
    </row>
    <row r="103" spans="1:9" ht="32.25" hidden="1" thickBot="1">
      <c r="A103" s="2160" t="s">
        <v>262</v>
      </c>
      <c r="B103" s="2133"/>
      <c r="C103" s="1240" t="s">
        <v>292</v>
      </c>
      <c r="D103" s="1240"/>
      <c r="E103" s="1240"/>
      <c r="F103" s="2190"/>
      <c r="G103" s="2831"/>
      <c r="H103" s="2831"/>
      <c r="I103" s="2884" t="e">
        <f t="shared" si="1"/>
        <v>#DIV/0!</v>
      </c>
    </row>
    <row r="104" spans="1:10" ht="40.5" customHeight="1" hidden="1" thickBot="1">
      <c r="A104" s="2161" t="s">
        <v>780</v>
      </c>
      <c r="B104" s="2129"/>
      <c r="C104" s="1208" t="s">
        <v>300</v>
      </c>
      <c r="D104" s="1208"/>
      <c r="E104" s="1208"/>
      <c r="F104" s="2179"/>
      <c r="G104" s="2831"/>
      <c r="H104" s="2831"/>
      <c r="I104" s="2884" t="e">
        <f t="shared" si="1"/>
        <v>#DIV/0!</v>
      </c>
      <c r="J104" s="125"/>
    </row>
    <row r="105" spans="1:9" ht="118.5" customHeight="1" thickBot="1">
      <c r="A105" s="2149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B105" s="2131">
        <v>968</v>
      </c>
      <c r="C105" s="2254" t="s">
        <v>419</v>
      </c>
      <c r="D105" s="1230" t="str">
        <f>D106</f>
        <v>795 03 00</v>
      </c>
      <c r="E105" s="1189"/>
      <c r="F105" s="1762"/>
      <c r="G105" s="2840">
        <f>G106</f>
        <v>151.3</v>
      </c>
      <c r="H105" s="2840">
        <f>H106</f>
        <v>96.5</v>
      </c>
      <c r="I105" s="2885">
        <f t="shared" si="1"/>
        <v>63.78056840713813</v>
      </c>
    </row>
    <row r="106" spans="1:9" ht="25.5" customHeight="1" thickBot="1">
      <c r="A106" s="2152" t="str">
        <f>'Бюд.р.'!A282</f>
        <v>Закупка товаров, работ и услуг  для государственных (муниципальных) нужд</v>
      </c>
      <c r="B106" s="2124">
        <v>968</v>
      </c>
      <c r="C106" s="2246" t="s">
        <v>419</v>
      </c>
      <c r="D106" s="1215" t="str">
        <f>'Бюд.р.'!D283</f>
        <v>795 03 00</v>
      </c>
      <c r="E106" s="1633">
        <v>200</v>
      </c>
      <c r="F106" s="1575"/>
      <c r="G106" s="2834">
        <v>151.3</v>
      </c>
      <c r="H106" s="2855">
        <v>96.5</v>
      </c>
      <c r="I106" s="2887">
        <f t="shared" si="1"/>
        <v>63.78056840713813</v>
      </c>
    </row>
    <row r="107" spans="1:9" ht="13.5" hidden="1" thickBot="1">
      <c r="A107" s="2145" t="s">
        <v>275</v>
      </c>
      <c r="B107" s="2132"/>
      <c r="C107" s="2248" t="s">
        <v>300</v>
      </c>
      <c r="D107" s="1196" t="s">
        <v>726</v>
      </c>
      <c r="E107" s="1196" t="s">
        <v>277</v>
      </c>
      <c r="F107" s="2176" t="s">
        <v>276</v>
      </c>
      <c r="G107" s="2831"/>
      <c r="H107" s="2855"/>
      <c r="I107" s="2885" t="e">
        <f t="shared" si="1"/>
        <v>#DIV/0!</v>
      </c>
    </row>
    <row r="108" spans="1:9" ht="15" customHeight="1" hidden="1" thickBot="1">
      <c r="A108" s="2147" t="s">
        <v>259</v>
      </c>
      <c r="B108" s="2121"/>
      <c r="C108" s="1703" t="s">
        <v>300</v>
      </c>
      <c r="D108" s="1204" t="s">
        <v>726</v>
      </c>
      <c r="E108" s="1204" t="s">
        <v>277</v>
      </c>
      <c r="F108" s="2178" t="s">
        <v>299</v>
      </c>
      <c r="G108" s="2831"/>
      <c r="H108" s="2855"/>
      <c r="I108" s="2885" t="e">
        <f t="shared" si="1"/>
        <v>#DIV/0!</v>
      </c>
    </row>
    <row r="109" spans="1:9" ht="45.75" customHeight="1" hidden="1">
      <c r="A109" s="2149" t="s">
        <v>31</v>
      </c>
      <c r="B109" s="2131">
        <v>968</v>
      </c>
      <c r="C109" s="2254">
        <v>309</v>
      </c>
      <c r="D109" s="1230" t="s">
        <v>9</v>
      </c>
      <c r="E109" s="1242"/>
      <c r="F109" s="2178"/>
      <c r="G109" s="2840">
        <f>G110</f>
        <v>0</v>
      </c>
      <c r="H109" s="2855"/>
      <c r="I109" s="2885" t="e">
        <f t="shared" si="1"/>
        <v>#DIV/0!</v>
      </c>
    </row>
    <row r="110" spans="1:9" ht="15" customHeight="1" hidden="1">
      <c r="A110" s="2152" t="s">
        <v>426</v>
      </c>
      <c r="B110" s="2124">
        <v>968</v>
      </c>
      <c r="C110" s="2246">
        <v>309</v>
      </c>
      <c r="D110" s="1215" t="s">
        <v>9</v>
      </c>
      <c r="E110" s="1215">
        <v>500</v>
      </c>
      <c r="F110" s="2182"/>
      <c r="G110" s="2834">
        <f>'Бюд.р.'!H292</f>
        <v>0</v>
      </c>
      <c r="H110" s="2855"/>
      <c r="I110" s="2885" t="e">
        <f t="shared" si="1"/>
        <v>#DIV/0!</v>
      </c>
    </row>
    <row r="111" spans="1:9" ht="47.25" customHeight="1" hidden="1">
      <c r="A111" s="2149"/>
      <c r="B111" s="2122"/>
      <c r="C111" s="2250"/>
      <c r="D111" s="1211"/>
      <c r="E111" s="1189"/>
      <c r="F111" s="1762"/>
      <c r="G111" s="2832"/>
      <c r="H111" s="2855"/>
      <c r="I111" s="2885" t="e">
        <f t="shared" si="1"/>
        <v>#DIV/0!</v>
      </c>
    </row>
    <row r="112" spans="1:9" ht="13.5" customHeight="1" hidden="1">
      <c r="A112" s="2141"/>
      <c r="B112" s="1919"/>
      <c r="C112" s="2101"/>
      <c r="D112" s="1193"/>
      <c r="E112" s="1193"/>
      <c r="F112" s="1564"/>
      <c r="G112" s="2830"/>
      <c r="H112" s="2855"/>
      <c r="I112" s="2885" t="e">
        <f t="shared" si="1"/>
        <v>#DIV/0!</v>
      </c>
    </row>
    <row r="113" spans="1:9" ht="46.5" customHeight="1" thickBot="1">
      <c r="A113" s="2149" t="s">
        <v>1017</v>
      </c>
      <c r="B113" s="2122">
        <v>968</v>
      </c>
      <c r="C113" s="2250" t="s">
        <v>419</v>
      </c>
      <c r="D113" s="1211" t="str">
        <f>D114</f>
        <v>795 05 00</v>
      </c>
      <c r="E113" s="1189"/>
      <c r="F113" s="1762"/>
      <c r="G113" s="2832">
        <f>G114</f>
        <v>125</v>
      </c>
      <c r="H113" s="2832">
        <f>H114</f>
        <v>65.5</v>
      </c>
      <c r="I113" s="2885">
        <f t="shared" si="1"/>
        <v>52.400000000000006</v>
      </c>
    </row>
    <row r="114" spans="1:9" ht="29.25" customHeight="1" thickBot="1">
      <c r="A114" s="2152" t="str">
        <f>'Бюд.р.'!A303</f>
        <v>Закупка товаров, работ и услуг  для государственных (муниципальных) нужд</v>
      </c>
      <c r="B114" s="1919" t="s">
        <v>631</v>
      </c>
      <c r="C114" s="1193" t="s">
        <v>419</v>
      </c>
      <c r="D114" s="1193" t="s">
        <v>11</v>
      </c>
      <c r="E114" s="1193">
        <v>200</v>
      </c>
      <c r="F114" s="1564"/>
      <c r="G114" s="2830">
        <v>125</v>
      </c>
      <c r="H114" s="2855">
        <v>65.5</v>
      </c>
      <c r="I114" s="2887">
        <f t="shared" si="1"/>
        <v>52.400000000000006</v>
      </c>
    </row>
    <row r="115" spans="1:9" s="436" customFormat="1" ht="13.5" thickBot="1">
      <c r="A115" s="2851" t="s">
        <v>887</v>
      </c>
      <c r="B115" s="2116" t="s">
        <v>631</v>
      </c>
      <c r="C115" s="2852" t="s">
        <v>899</v>
      </c>
      <c r="D115" s="2852"/>
      <c r="E115" s="2853"/>
      <c r="F115" s="2854"/>
      <c r="G115" s="2829">
        <f>G116++G119+G122</f>
        <v>186.5</v>
      </c>
      <c r="H115" s="2829">
        <f>H116++H119+H122</f>
        <v>20</v>
      </c>
      <c r="I115" s="2885">
        <f t="shared" si="1"/>
        <v>10.723860589812332</v>
      </c>
    </row>
    <row r="116" spans="1:9" ht="13.5" thickBot="1">
      <c r="A116" s="2874" t="s">
        <v>934</v>
      </c>
      <c r="B116" s="2862">
        <v>968</v>
      </c>
      <c r="C116" s="2868" t="s">
        <v>1268</v>
      </c>
      <c r="D116" s="2863"/>
      <c r="E116" s="2863"/>
      <c r="F116" s="2864"/>
      <c r="G116" s="2865">
        <f>G117</f>
        <v>166.5</v>
      </c>
      <c r="H116" s="2865">
        <f>H117</f>
        <v>0</v>
      </c>
      <c r="I116" s="2886">
        <f t="shared" si="1"/>
        <v>0</v>
      </c>
    </row>
    <row r="117" spans="1:9" ht="23.25" thickBot="1">
      <c r="A117" s="2149" t="str">
        <f>'Бюд.р.'!A310</f>
        <v>ВРЕМЕННОЕ ТРУДОУСТРОЙСТВО НЕСОВЕРШЕННОЛЕТНИХ В ВОЗРАСТЕ ОТ 14 ДО 18 ЛЕТ В СВОБОДНОЕ ОТ УЧЕБЫ ВРЕМЯ</v>
      </c>
      <c r="B117" s="2131">
        <v>968</v>
      </c>
      <c r="C117" s="2254" t="s">
        <v>1268</v>
      </c>
      <c r="D117" s="1230" t="s">
        <v>935</v>
      </c>
      <c r="E117" s="1230"/>
      <c r="F117" s="1762"/>
      <c r="G117" s="2832">
        <f>G118</f>
        <v>166.5</v>
      </c>
      <c r="H117" s="2832">
        <f>H118</f>
        <v>0</v>
      </c>
      <c r="I117" s="2885">
        <f t="shared" si="1"/>
        <v>0</v>
      </c>
    </row>
    <row r="118" spans="1:9" ht="14.25" customHeight="1" thickBot="1">
      <c r="A118" s="2152" t="str">
        <f>'Бюд.р.'!A311</f>
        <v>Иные бюджетные ассигнования</v>
      </c>
      <c r="B118" s="2124">
        <v>968</v>
      </c>
      <c r="C118" s="2246" t="s">
        <v>1268</v>
      </c>
      <c r="D118" s="1215" t="str">
        <f>'Бюд.р.'!D312</f>
        <v>510 02 00</v>
      </c>
      <c r="E118" s="1215">
        <v>800</v>
      </c>
      <c r="F118" s="1575"/>
      <c r="G118" s="2834">
        <v>166.5</v>
      </c>
      <c r="H118" s="2855">
        <v>0</v>
      </c>
      <c r="I118" s="2887">
        <f t="shared" si="1"/>
        <v>0</v>
      </c>
    </row>
    <row r="119" spans="1:9" ht="16.5" customHeight="1" hidden="1">
      <c r="A119" s="2162" t="s">
        <v>1049</v>
      </c>
      <c r="B119" s="2134">
        <v>968</v>
      </c>
      <c r="C119" s="2109">
        <v>410</v>
      </c>
      <c r="D119" s="2109"/>
      <c r="E119" s="2109"/>
      <c r="F119" s="2175"/>
      <c r="G119" s="2841">
        <f>G120</f>
        <v>0</v>
      </c>
      <c r="H119" s="2855"/>
      <c r="I119" s="2884" t="e">
        <f t="shared" si="1"/>
        <v>#DIV/0!</v>
      </c>
    </row>
    <row r="120" spans="1:9" ht="17.25" customHeight="1" hidden="1">
      <c r="A120" s="2149" t="s">
        <v>1051</v>
      </c>
      <c r="B120" s="2131">
        <v>968</v>
      </c>
      <c r="C120" s="1230">
        <v>410</v>
      </c>
      <c r="D120" s="1230" t="s">
        <v>1048</v>
      </c>
      <c r="E120" s="1230"/>
      <c r="F120" s="1762"/>
      <c r="G120" s="2832">
        <f>G121</f>
        <v>0</v>
      </c>
      <c r="H120" s="2855"/>
      <c r="I120" s="2884" t="e">
        <f t="shared" si="1"/>
        <v>#DIV/0!</v>
      </c>
    </row>
    <row r="121" spans="1:9" ht="16.5" customHeight="1" hidden="1">
      <c r="A121" s="2152" t="s">
        <v>988</v>
      </c>
      <c r="B121" s="2124">
        <v>968</v>
      </c>
      <c r="C121" s="1215">
        <v>410</v>
      </c>
      <c r="D121" s="1215" t="s">
        <v>1048</v>
      </c>
      <c r="E121" s="1215">
        <v>240</v>
      </c>
      <c r="F121" s="1575"/>
      <c r="G121" s="2834">
        <f>'Бюд.р.'!H317</f>
        <v>0</v>
      </c>
      <c r="H121" s="2855"/>
      <c r="I121" s="2884" t="e">
        <f t="shared" si="1"/>
        <v>#DIV/0!</v>
      </c>
    </row>
    <row r="122" spans="1:9" ht="24" customHeight="1" thickBot="1">
      <c r="A122" s="2866" t="s">
        <v>888</v>
      </c>
      <c r="B122" s="2862" t="s">
        <v>631</v>
      </c>
      <c r="C122" s="2863" t="s">
        <v>898</v>
      </c>
      <c r="D122" s="2863"/>
      <c r="E122" s="2863"/>
      <c r="F122" s="2864"/>
      <c r="G122" s="2865">
        <f>G123</f>
        <v>20</v>
      </c>
      <c r="H122" s="2865">
        <f>H123</f>
        <v>20</v>
      </c>
      <c r="I122" s="2886">
        <f t="shared" si="1"/>
        <v>100</v>
      </c>
    </row>
    <row r="123" spans="1:9" ht="25.5" customHeight="1" thickBot="1">
      <c r="A123" s="2149" t="s">
        <v>890</v>
      </c>
      <c r="B123" s="2122">
        <v>968</v>
      </c>
      <c r="C123" s="2250" t="s">
        <v>898</v>
      </c>
      <c r="D123" s="1211" t="s">
        <v>889</v>
      </c>
      <c r="E123" s="1211"/>
      <c r="F123" s="1762"/>
      <c r="G123" s="2832">
        <f>G124</f>
        <v>20</v>
      </c>
      <c r="H123" s="2832">
        <f>H124</f>
        <v>20</v>
      </c>
      <c r="I123" s="2885">
        <f t="shared" si="1"/>
        <v>100</v>
      </c>
    </row>
    <row r="124" spans="1:9" ht="25.5" customHeight="1" thickBot="1">
      <c r="A124" s="2152" t="str">
        <f>'Бюд.р.'!A322</f>
        <v>Закупка товаров, работ и услуг  для государственных (муниципальных) нужд</v>
      </c>
      <c r="B124" s="2124">
        <v>968</v>
      </c>
      <c r="C124" s="2246" t="s">
        <v>898</v>
      </c>
      <c r="D124" s="1215" t="str">
        <f>'Бюд.р.'!D323</f>
        <v>795 07 00</v>
      </c>
      <c r="E124" s="1215">
        <v>200</v>
      </c>
      <c r="F124" s="1575"/>
      <c r="G124" s="2834">
        <v>20</v>
      </c>
      <c r="H124" s="2855">
        <v>20</v>
      </c>
      <c r="I124" s="2887">
        <f t="shared" si="1"/>
        <v>100</v>
      </c>
    </row>
    <row r="125" spans="1:9" ht="13.5" hidden="1" thickBot="1">
      <c r="A125" s="2143" t="s">
        <v>264</v>
      </c>
      <c r="B125" s="2117" t="s">
        <v>631</v>
      </c>
      <c r="C125" s="2100" t="s">
        <v>405</v>
      </c>
      <c r="D125" s="2100"/>
      <c r="E125" s="2100"/>
      <c r="F125" s="2174"/>
      <c r="G125" s="2839">
        <f>G126</f>
        <v>50865</v>
      </c>
      <c r="H125" s="2855"/>
      <c r="I125" s="2884">
        <f t="shared" si="1"/>
        <v>0</v>
      </c>
    </row>
    <row r="126" spans="1:9" ht="13.5" thickBot="1">
      <c r="A126" s="2861" t="s">
        <v>406</v>
      </c>
      <c r="B126" s="2862" t="s">
        <v>631</v>
      </c>
      <c r="C126" s="2863" t="s">
        <v>407</v>
      </c>
      <c r="D126" s="2863"/>
      <c r="E126" s="2863"/>
      <c r="F126" s="2864"/>
      <c r="G126" s="2865">
        <f>G127+G147+G154+G164</f>
        <v>50865</v>
      </c>
      <c r="H126" s="2865">
        <f>H127+H147+H154+H164</f>
        <v>26172.399999999998</v>
      </c>
      <c r="I126" s="2886">
        <f t="shared" si="1"/>
        <v>51.45463481765458</v>
      </c>
    </row>
    <row r="127" spans="1:9" ht="21.75" customHeight="1" thickBot="1">
      <c r="A127" s="2164" t="s">
        <v>1034</v>
      </c>
      <c r="B127" s="2116" t="s">
        <v>631</v>
      </c>
      <c r="C127" s="2852" t="s">
        <v>407</v>
      </c>
      <c r="D127" s="2852" t="s">
        <v>408</v>
      </c>
      <c r="E127" s="2852"/>
      <c r="F127" s="2883"/>
      <c r="G127" s="2829">
        <f>G128+G132+G134+G137+G139+G130</f>
        <v>37515.3</v>
      </c>
      <c r="H127" s="2829">
        <f>H128+H132+H134+H137+H139+H130</f>
        <v>21399.199999999997</v>
      </c>
      <c r="I127" s="2885">
        <f t="shared" si="1"/>
        <v>57.041260499049706</v>
      </c>
    </row>
    <row r="128" spans="1:9" ht="34.5" customHeight="1" thickBot="1">
      <c r="A128" s="1654" t="str">
        <f>'Бюд.р.'!A329</f>
        <v>ТЕКУЩИЙ РЕМОНТ ПРИДОМОВЫХ ТЕРРИТОРИЙ И ДВОРОВЫХ ТЕРРИТОРИЙ , ВКЛЮЧАЯ ПРОЕЗДЫ И ВЪЕЗДЫ,ПЕШЕХОДНЫЕ ДОРОЖКИ</v>
      </c>
      <c r="B128" s="2119" t="s">
        <v>631</v>
      </c>
      <c r="C128" s="1189" t="s">
        <v>407</v>
      </c>
      <c r="D128" s="1189" t="s">
        <v>410</v>
      </c>
      <c r="E128" s="1189"/>
      <c r="F128" s="1762"/>
      <c r="G128" s="2832">
        <f>SUM(G129:G129)</f>
        <v>32361.5</v>
      </c>
      <c r="H128" s="2832">
        <f>SUM(H129:H129)</f>
        <v>19000.6</v>
      </c>
      <c r="I128" s="2885">
        <f t="shared" si="1"/>
        <v>58.71359485808754</v>
      </c>
    </row>
    <row r="129" spans="1:9" ht="24.75" customHeight="1" thickBot="1">
      <c r="A129" s="2152" t="str">
        <f>'Бюд.р.'!A330</f>
        <v>Закупка товаров, работ и услуг  для государственных (муниципальных) нужд</v>
      </c>
      <c r="B129" s="1919" t="s">
        <v>631</v>
      </c>
      <c r="C129" s="1193" t="s">
        <v>407</v>
      </c>
      <c r="D129" s="1193" t="str">
        <f>'Бюд.р.'!D331</f>
        <v>600 01 01</v>
      </c>
      <c r="E129" s="1193">
        <v>200</v>
      </c>
      <c r="F129" s="1564"/>
      <c r="G129" s="2830">
        <v>32361.5</v>
      </c>
      <c r="H129" s="2855">
        <v>19000.6</v>
      </c>
      <c r="I129" s="2887">
        <f t="shared" si="1"/>
        <v>58.71359485808754</v>
      </c>
    </row>
    <row r="130" spans="1:9" ht="24.75" customHeight="1" thickBot="1">
      <c r="A130" s="385" t="s">
        <v>1189</v>
      </c>
      <c r="B130" s="724">
        <v>968</v>
      </c>
      <c r="C130" s="724">
        <v>503</v>
      </c>
      <c r="D130" s="1701" t="s">
        <v>410</v>
      </c>
      <c r="E130" s="724"/>
      <c r="F130" s="1950">
        <v>800</v>
      </c>
      <c r="G130" s="724">
        <f>G131</f>
        <v>542.4</v>
      </c>
      <c r="H130" s="724">
        <f>H131</f>
        <v>542.4</v>
      </c>
      <c r="I130" s="2887">
        <f t="shared" si="1"/>
        <v>100</v>
      </c>
    </row>
    <row r="131" spans="1:9" ht="24.75" customHeight="1" thickBot="1">
      <c r="A131" s="722" t="s">
        <v>1082</v>
      </c>
      <c r="B131" s="720">
        <v>968</v>
      </c>
      <c r="C131" s="720">
        <v>503</v>
      </c>
      <c r="D131" s="720" t="s">
        <v>410</v>
      </c>
      <c r="E131" s="720">
        <v>800</v>
      </c>
      <c r="F131" s="2908">
        <v>852</v>
      </c>
      <c r="G131" s="720">
        <v>542.4</v>
      </c>
      <c r="H131" s="720">
        <v>542.4</v>
      </c>
      <c r="I131" s="2909">
        <f t="shared" si="1"/>
        <v>100</v>
      </c>
    </row>
    <row r="132" spans="1:9" ht="24" customHeight="1" thickBot="1">
      <c r="A132" s="1654" t="s">
        <v>1035</v>
      </c>
      <c r="B132" s="2119" t="s">
        <v>631</v>
      </c>
      <c r="C132" s="1189" t="s">
        <v>407</v>
      </c>
      <c r="D132" s="1189" t="s">
        <v>411</v>
      </c>
      <c r="E132" s="1189"/>
      <c r="F132" s="2176"/>
      <c r="G132" s="2832">
        <f>G133</f>
        <v>462.5</v>
      </c>
      <c r="H132" s="2832">
        <f>H133</f>
        <v>0</v>
      </c>
      <c r="I132" s="2885">
        <f t="shared" si="1"/>
        <v>0</v>
      </c>
    </row>
    <row r="133" spans="1:9" ht="22.5" customHeight="1" thickBot="1">
      <c r="A133" s="2152" t="str">
        <f>'Бюд.р.'!A339</f>
        <v>Закупка товаров, работ и услуг  для государственных (муниципальных) нужд</v>
      </c>
      <c r="B133" s="1919" t="s">
        <v>631</v>
      </c>
      <c r="C133" s="1193" t="s">
        <v>407</v>
      </c>
      <c r="D133" s="1193" t="str">
        <f>'Бюд.р.'!D340</f>
        <v>600 01 02</v>
      </c>
      <c r="E133" s="1193">
        <v>200</v>
      </c>
      <c r="F133" s="2178"/>
      <c r="G133" s="2830">
        <v>462.5</v>
      </c>
      <c r="H133" s="2855">
        <v>0</v>
      </c>
      <c r="I133" s="2887">
        <f t="shared" si="1"/>
        <v>0</v>
      </c>
    </row>
    <row r="134" spans="1:9" ht="12.75" customHeight="1" thickBot="1">
      <c r="A134" s="2145" t="s">
        <v>32</v>
      </c>
      <c r="B134" s="2119" t="s">
        <v>631</v>
      </c>
      <c r="C134" s="1189" t="s">
        <v>407</v>
      </c>
      <c r="D134" s="1189" t="s">
        <v>412</v>
      </c>
      <c r="E134" s="1189"/>
      <c r="F134" s="1762"/>
      <c r="G134" s="2832">
        <f>SUM(G135:G136)</f>
        <v>2318.3</v>
      </c>
      <c r="H134" s="2832">
        <f>SUM(H135:H136)</f>
        <v>261.6</v>
      </c>
      <c r="I134" s="2885">
        <f t="shared" si="1"/>
        <v>11.284130612949143</v>
      </c>
    </row>
    <row r="135" spans="1:9" ht="22.5" customHeight="1" thickBot="1">
      <c r="A135" s="2152" t="str">
        <f>'Бюд.р.'!A344</f>
        <v>Закупка товаров, работ и услуг  для государственных (муниципальных) нужд</v>
      </c>
      <c r="B135" s="1919" t="s">
        <v>631</v>
      </c>
      <c r="C135" s="1193" t="s">
        <v>407</v>
      </c>
      <c r="D135" s="1193" t="str">
        <f>'Бюд.р.'!D345</f>
        <v>600 01 03</v>
      </c>
      <c r="E135" s="1193">
        <v>200</v>
      </c>
      <c r="F135" s="1762"/>
      <c r="G135" s="2830">
        <v>2318.3</v>
      </c>
      <c r="H135" s="2855">
        <v>261.6</v>
      </c>
      <c r="I135" s="2887">
        <f t="shared" si="1"/>
        <v>11.284130612949143</v>
      </c>
    </row>
    <row r="136" spans="1:9" ht="33.75" customHeight="1" hidden="1">
      <c r="A136" s="2141" t="s">
        <v>777</v>
      </c>
      <c r="B136" s="1919" t="s">
        <v>631</v>
      </c>
      <c r="C136" s="1193" t="s">
        <v>407</v>
      </c>
      <c r="D136" s="1193" t="s">
        <v>412</v>
      </c>
      <c r="E136" s="1193" t="s">
        <v>461</v>
      </c>
      <c r="F136" s="1762"/>
      <c r="G136" s="2830">
        <f>'Бюд.р.'!H349</f>
        <v>0</v>
      </c>
      <c r="H136" s="2855"/>
      <c r="I136" s="2885" t="e">
        <f t="shared" si="1"/>
        <v>#DIV/0!</v>
      </c>
    </row>
    <row r="137" spans="1:9" ht="45.75" customHeight="1" thickBot="1">
      <c r="A137" s="2145" t="s">
        <v>909</v>
      </c>
      <c r="B137" s="2119" t="s">
        <v>631</v>
      </c>
      <c r="C137" s="1189" t="s">
        <v>407</v>
      </c>
      <c r="D137" s="1189" t="s">
        <v>414</v>
      </c>
      <c r="E137" s="1189"/>
      <c r="F137" s="1762"/>
      <c r="G137" s="2832">
        <f>G138</f>
        <v>1830.6</v>
      </c>
      <c r="H137" s="2832">
        <f>H138</f>
        <v>1594.6</v>
      </c>
      <c r="I137" s="2885">
        <f t="shared" si="1"/>
        <v>87.10805200480716</v>
      </c>
    </row>
    <row r="138" spans="1:9" ht="26.25" customHeight="1" thickBot="1">
      <c r="A138" s="2152" t="str">
        <f>'Бюд.р.'!A355</f>
        <v>Закупка товаров, работ и услуг  для государственных (муниципальных) нужд</v>
      </c>
      <c r="B138" s="1919" t="s">
        <v>631</v>
      </c>
      <c r="C138" s="1193" t="s">
        <v>407</v>
      </c>
      <c r="D138" s="1193" t="str">
        <f>'Бюд.р.'!D356</f>
        <v>600 01 04</v>
      </c>
      <c r="E138" s="1193">
        <v>200</v>
      </c>
      <c r="F138" s="1762"/>
      <c r="G138" s="2830">
        <v>1830.6</v>
      </c>
      <c r="H138" s="2855">
        <v>1594.6</v>
      </c>
      <c r="I138" s="2887">
        <f t="shared" si="1"/>
        <v>87.10805200480716</v>
      </c>
    </row>
    <row r="139" spans="1:9" ht="21.75" customHeight="1" hidden="1">
      <c r="A139" s="2145" t="s">
        <v>416</v>
      </c>
      <c r="B139" s="2119" t="s">
        <v>631</v>
      </c>
      <c r="C139" s="1189" t="s">
        <v>407</v>
      </c>
      <c r="D139" s="1189" t="s">
        <v>417</v>
      </c>
      <c r="E139" s="1189"/>
      <c r="F139" s="1762"/>
      <c r="G139" s="2832">
        <f>G140</f>
        <v>0</v>
      </c>
      <c r="H139" s="2855"/>
      <c r="I139" s="2884" t="e">
        <f t="shared" si="1"/>
        <v>#DIV/0!</v>
      </c>
    </row>
    <row r="140" spans="1:9" ht="14.25" customHeight="1" hidden="1">
      <c r="A140" s="2141" t="s">
        <v>426</v>
      </c>
      <c r="B140" s="1919" t="s">
        <v>631</v>
      </c>
      <c r="C140" s="1193" t="s">
        <v>407</v>
      </c>
      <c r="D140" s="1193" t="s">
        <v>417</v>
      </c>
      <c r="E140" s="1193" t="s">
        <v>800</v>
      </c>
      <c r="F140" s="1762"/>
      <c r="G140" s="2830"/>
      <c r="H140" s="2855"/>
      <c r="I140" s="2884" t="e">
        <f t="shared" si="1"/>
        <v>#DIV/0!</v>
      </c>
    </row>
    <row r="141" spans="1:9" ht="13.5" hidden="1" thickBot="1">
      <c r="A141" s="2145" t="s">
        <v>275</v>
      </c>
      <c r="B141" s="2132"/>
      <c r="C141" s="1196" t="s">
        <v>284</v>
      </c>
      <c r="D141" s="1196" t="s">
        <v>39</v>
      </c>
      <c r="E141" s="1196" t="s">
        <v>283</v>
      </c>
      <c r="F141" s="2176" t="s">
        <v>276</v>
      </c>
      <c r="G141" s="2831"/>
      <c r="H141" s="2855"/>
      <c r="I141" s="2884" t="e">
        <f t="shared" si="1"/>
        <v>#DIV/0!</v>
      </c>
    </row>
    <row r="142" spans="1:9" ht="13.5" hidden="1" thickBot="1">
      <c r="A142" s="2147" t="s">
        <v>259</v>
      </c>
      <c r="B142" s="2121"/>
      <c r="C142" s="1204" t="s">
        <v>284</v>
      </c>
      <c r="D142" s="1204" t="s">
        <v>39</v>
      </c>
      <c r="E142" s="1204" t="s">
        <v>283</v>
      </c>
      <c r="F142" s="2178" t="s">
        <v>299</v>
      </c>
      <c r="G142" s="2831"/>
      <c r="H142" s="2855"/>
      <c r="I142" s="2884" t="e">
        <f t="shared" si="1"/>
        <v>#DIV/0!</v>
      </c>
    </row>
    <row r="143" spans="1:9" ht="109.5" customHeight="1" hidden="1">
      <c r="A143" s="2163" t="s">
        <v>755</v>
      </c>
      <c r="B143" s="2119"/>
      <c r="C143" s="1189" t="s">
        <v>284</v>
      </c>
      <c r="D143" s="1189" t="s">
        <v>746</v>
      </c>
      <c r="E143" s="1189"/>
      <c r="F143" s="1762"/>
      <c r="G143" s="2831"/>
      <c r="H143" s="2855"/>
      <c r="I143" s="2884" t="e">
        <f t="shared" si="1"/>
        <v>#DIV/0!</v>
      </c>
    </row>
    <row r="144" spans="1:9" ht="22.5" customHeight="1" hidden="1">
      <c r="A144" s="1654" t="s">
        <v>884</v>
      </c>
      <c r="B144" s="2130"/>
      <c r="C144" s="1227" t="s">
        <v>284</v>
      </c>
      <c r="D144" s="1227" t="s">
        <v>746</v>
      </c>
      <c r="E144" s="1227" t="s">
        <v>283</v>
      </c>
      <c r="F144" s="1563"/>
      <c r="G144" s="2831"/>
      <c r="H144" s="2855"/>
      <c r="I144" s="2884" t="e">
        <f t="shared" si="1"/>
        <v>#DIV/0!</v>
      </c>
    </row>
    <row r="145" spans="1:9" ht="12.75" customHeight="1" hidden="1">
      <c r="A145" s="2145" t="s">
        <v>275</v>
      </c>
      <c r="B145" s="2132"/>
      <c r="C145" s="1196" t="s">
        <v>284</v>
      </c>
      <c r="D145" s="1196" t="s">
        <v>745</v>
      </c>
      <c r="E145" s="1196" t="s">
        <v>283</v>
      </c>
      <c r="F145" s="2176" t="s">
        <v>276</v>
      </c>
      <c r="G145" s="2831"/>
      <c r="H145" s="2855"/>
      <c r="I145" s="2884" t="e">
        <f t="shared" si="1"/>
        <v>#DIV/0!</v>
      </c>
    </row>
    <row r="146" spans="1:9" ht="12.75" customHeight="1" hidden="1">
      <c r="A146" s="2147" t="s">
        <v>259</v>
      </c>
      <c r="B146" s="2121"/>
      <c r="C146" s="1204" t="s">
        <v>284</v>
      </c>
      <c r="D146" s="1204" t="s">
        <v>745</v>
      </c>
      <c r="E146" s="1204" t="s">
        <v>283</v>
      </c>
      <c r="F146" s="2178" t="s">
        <v>299</v>
      </c>
      <c r="G146" s="2831"/>
      <c r="H146" s="2855"/>
      <c r="I146" s="2884" t="e">
        <f t="shared" si="1"/>
        <v>#DIV/0!</v>
      </c>
    </row>
    <row r="147" spans="1:9" ht="24.75" customHeight="1" thickBot="1">
      <c r="A147" s="2164" t="s">
        <v>1023</v>
      </c>
      <c r="B147" s="2130" t="s">
        <v>631</v>
      </c>
      <c r="C147" s="1227" t="s">
        <v>407</v>
      </c>
      <c r="D147" s="1227" t="s">
        <v>418</v>
      </c>
      <c r="E147" s="1204"/>
      <c r="F147" s="2178"/>
      <c r="G147" s="2840">
        <f>G148+G150+G152</f>
        <v>198.2</v>
      </c>
      <c r="H147" s="2840">
        <f>H148+H150+H152</f>
        <v>198.2</v>
      </c>
      <c r="I147" s="2885">
        <f t="shared" si="1"/>
        <v>100</v>
      </c>
    </row>
    <row r="148" spans="1:9" ht="22.5" customHeight="1" hidden="1">
      <c r="A148" s="2145" t="s">
        <v>462</v>
      </c>
      <c r="B148" s="2119" t="s">
        <v>631</v>
      </c>
      <c r="C148" s="1189" t="s">
        <v>407</v>
      </c>
      <c r="D148" s="1189" t="s">
        <v>463</v>
      </c>
      <c r="E148" s="1189"/>
      <c r="F148" s="1762"/>
      <c r="G148" s="2832">
        <f>G149</f>
        <v>0</v>
      </c>
      <c r="H148" s="2832">
        <f>H149</f>
        <v>0</v>
      </c>
      <c r="I148" s="2884" t="e">
        <f t="shared" si="1"/>
        <v>#DIV/0!</v>
      </c>
    </row>
    <row r="149" spans="1:9" ht="14.25" customHeight="1" hidden="1">
      <c r="A149" s="2152" t="str">
        <f>'Бюд.р.'!A365</f>
        <v>Прочая закупка товаров, работ и услуг для муниципальных нужд</v>
      </c>
      <c r="B149" s="1919" t="s">
        <v>631</v>
      </c>
      <c r="C149" s="1193" t="s">
        <v>407</v>
      </c>
      <c r="D149" s="1193" t="str">
        <f>'Бюд.р.'!D365</f>
        <v>600 02 01</v>
      </c>
      <c r="E149" s="1193">
        <f>'Бюд.р.'!F365</f>
        <v>244</v>
      </c>
      <c r="F149" s="1564"/>
      <c r="G149" s="2830">
        <f>'Бюд.р.'!H365</f>
        <v>0</v>
      </c>
      <c r="H149" s="2830">
        <f>'Бюд.р.'!I365</f>
        <v>0</v>
      </c>
      <c r="I149" s="2884" t="e">
        <f t="shared" si="1"/>
        <v>#DIV/0!</v>
      </c>
    </row>
    <row r="150" spans="1:9" ht="23.25" hidden="1" thickBot="1">
      <c r="A150" s="1654" t="s">
        <v>464</v>
      </c>
      <c r="B150" s="2119" t="s">
        <v>631</v>
      </c>
      <c r="C150" s="1189" t="s">
        <v>407</v>
      </c>
      <c r="D150" s="1189" t="s">
        <v>395</v>
      </c>
      <c r="E150" s="1189"/>
      <c r="F150" s="1762"/>
      <c r="G150" s="2832">
        <f>G151</f>
        <v>0</v>
      </c>
      <c r="H150" s="2832">
        <f>H151</f>
        <v>0</v>
      </c>
      <c r="I150" s="2884" t="e">
        <f t="shared" si="1"/>
        <v>#DIV/0!</v>
      </c>
    </row>
    <row r="151" spans="1:9" ht="14.25" customHeight="1" hidden="1">
      <c r="A151" s="2152" t="str">
        <f>'Бюд.р.'!A371</f>
        <v>Прочая закупка товаров, работ и услуг для муниципальных нужд</v>
      </c>
      <c r="B151" s="1919" t="s">
        <v>631</v>
      </c>
      <c r="C151" s="1193" t="s">
        <v>407</v>
      </c>
      <c r="D151" s="1193" t="s">
        <v>395</v>
      </c>
      <c r="E151" s="1193">
        <f>'Бюд.р.'!F371</f>
        <v>244</v>
      </c>
      <c r="F151" s="1564"/>
      <c r="G151" s="2830">
        <f>'Бюд.р.'!H371</f>
        <v>0</v>
      </c>
      <c r="H151" s="2830">
        <f>'Бюд.р.'!I371</f>
        <v>0</v>
      </c>
      <c r="I151" s="2884" t="e">
        <f t="shared" si="1"/>
        <v>#DIV/0!</v>
      </c>
    </row>
    <row r="152" spans="1:9" ht="23.25" thickBot="1">
      <c r="A152" s="1654" t="s">
        <v>394</v>
      </c>
      <c r="B152" s="2119" t="s">
        <v>631</v>
      </c>
      <c r="C152" s="1189" t="s">
        <v>407</v>
      </c>
      <c r="D152" s="1189" t="s">
        <v>1024</v>
      </c>
      <c r="E152" s="1189"/>
      <c r="F152" s="2176"/>
      <c r="G152" s="2832">
        <f>G153</f>
        <v>198.2</v>
      </c>
      <c r="H152" s="2832">
        <f>H153</f>
        <v>198.2</v>
      </c>
      <c r="I152" s="2885">
        <f aca="true" t="shared" si="2" ref="I152:I215">H152/G152*100</f>
        <v>100</v>
      </c>
    </row>
    <row r="153" spans="1:9" ht="28.5" customHeight="1" thickBot="1">
      <c r="A153" s="2152" t="str">
        <f>'Бюд.р.'!A375</f>
        <v>Закупка товаров, работ и услуг  для государственных (муниципальных) нужд</v>
      </c>
      <c r="B153" s="1919" t="s">
        <v>631</v>
      </c>
      <c r="C153" s="1193" t="s">
        <v>407</v>
      </c>
      <c r="D153" s="1193" t="str">
        <f>'Бюд.р.'!D376</f>
        <v>600 02 04</v>
      </c>
      <c r="E153" s="1193">
        <v>200</v>
      </c>
      <c r="F153" s="2178"/>
      <c r="G153" s="2830">
        <v>198.2</v>
      </c>
      <c r="H153" s="2855">
        <v>198.2</v>
      </c>
      <c r="I153" s="2887">
        <f t="shared" si="2"/>
        <v>100</v>
      </c>
    </row>
    <row r="154" spans="1:9" ht="12.75" customHeight="1" thickBot="1">
      <c r="A154" s="1654" t="s">
        <v>711</v>
      </c>
      <c r="B154" s="2116" t="s">
        <v>631</v>
      </c>
      <c r="C154" s="2852" t="s">
        <v>407</v>
      </c>
      <c r="D154" s="2852" t="s">
        <v>712</v>
      </c>
      <c r="E154" s="1193"/>
      <c r="F154" s="2178"/>
      <c r="G154" s="2829">
        <f>G155+G158+G162+G160</f>
        <v>7919.2</v>
      </c>
      <c r="H154" s="2829">
        <f>H155+H158+H162+H160</f>
        <v>2297.3</v>
      </c>
      <c r="I154" s="2885">
        <f t="shared" si="2"/>
        <v>29.009243357914944</v>
      </c>
    </row>
    <row r="155" spans="1:9" ht="21.75" customHeight="1" thickBot="1">
      <c r="A155" s="2149" t="s">
        <v>1025</v>
      </c>
      <c r="B155" s="2119" t="s">
        <v>631</v>
      </c>
      <c r="C155" s="1189" t="s">
        <v>407</v>
      </c>
      <c r="D155" s="1189" t="s">
        <v>709</v>
      </c>
      <c r="E155" s="1189"/>
      <c r="F155" s="2176"/>
      <c r="G155" s="2832">
        <f>SUM(G156:G157)</f>
        <v>7472.2</v>
      </c>
      <c r="H155" s="2832">
        <f>SUM(H156:H157)</f>
        <v>2000.3</v>
      </c>
      <c r="I155" s="2885">
        <f t="shared" si="2"/>
        <v>26.769893739460937</v>
      </c>
    </row>
    <row r="156" spans="1:9" ht="25.5" customHeight="1" thickBot="1">
      <c r="A156" s="2152" t="str">
        <f>'Бюд.р.'!A384</f>
        <v>Закупка товаров, работ и услуг  для государственных (муниципальных) нужд</v>
      </c>
      <c r="B156" s="1919" t="s">
        <v>631</v>
      </c>
      <c r="C156" s="1193" t="s">
        <v>407</v>
      </c>
      <c r="D156" s="1193" t="str">
        <f>'Бюд.р.'!D385</f>
        <v>600 03 01</v>
      </c>
      <c r="E156" s="1193">
        <v>200</v>
      </c>
      <c r="F156" s="2178"/>
      <c r="G156" s="2830">
        <v>7472.2</v>
      </c>
      <c r="H156" s="2855">
        <v>2000.3</v>
      </c>
      <c r="I156" s="2887">
        <f t="shared" si="2"/>
        <v>26.769893739460937</v>
      </c>
    </row>
    <row r="157" spans="1:9" ht="36" customHeight="1" hidden="1" thickBot="1">
      <c r="A157" s="2141" t="s">
        <v>777</v>
      </c>
      <c r="B157" s="1919" t="s">
        <v>631</v>
      </c>
      <c r="C157" s="1193" t="s">
        <v>407</v>
      </c>
      <c r="D157" s="1193" t="s">
        <v>709</v>
      </c>
      <c r="E157" s="1193" t="s">
        <v>461</v>
      </c>
      <c r="F157" s="2178"/>
      <c r="G157" s="2830">
        <f>'Бюд.р.'!H388</f>
        <v>0</v>
      </c>
      <c r="H157" s="2855"/>
      <c r="I157" s="2885" t="e">
        <f t="shared" si="2"/>
        <v>#DIV/0!</v>
      </c>
    </row>
    <row r="158" spans="1:9" ht="14.25" customHeight="1" thickBot="1">
      <c r="A158" s="2149" t="s">
        <v>1026</v>
      </c>
      <c r="B158" s="2119" t="s">
        <v>631</v>
      </c>
      <c r="C158" s="1189" t="s">
        <v>407</v>
      </c>
      <c r="D158" s="1189" t="s">
        <v>713</v>
      </c>
      <c r="E158" s="1189"/>
      <c r="F158" s="1762"/>
      <c r="G158" s="2832">
        <f>G159</f>
        <v>297</v>
      </c>
      <c r="H158" s="2832">
        <f>H159</f>
        <v>297</v>
      </c>
      <c r="I158" s="2885">
        <f t="shared" si="2"/>
        <v>100</v>
      </c>
    </row>
    <row r="159" spans="1:9" ht="26.25" customHeight="1" thickBot="1">
      <c r="A159" s="2152" t="str">
        <f>'Бюд.р.'!A394</f>
        <v>Закупка товаров, работ и услуг  для государственных (муниципальных) нужд</v>
      </c>
      <c r="B159" s="1919" t="s">
        <v>631</v>
      </c>
      <c r="C159" s="1193" t="s">
        <v>407</v>
      </c>
      <c r="D159" s="1193" t="str">
        <f>'Бюд.р.'!D395</f>
        <v>600 03 02</v>
      </c>
      <c r="E159" s="1193">
        <v>200</v>
      </c>
      <c r="F159" s="1564"/>
      <c r="G159" s="2830">
        <v>297</v>
      </c>
      <c r="H159" s="2855">
        <v>297</v>
      </c>
      <c r="I159" s="2887">
        <f t="shared" si="2"/>
        <v>100</v>
      </c>
    </row>
    <row r="160" spans="1:9" ht="33.75" customHeight="1" hidden="1">
      <c r="A160" s="2149" t="s">
        <v>1045</v>
      </c>
      <c r="B160" s="2131">
        <v>968</v>
      </c>
      <c r="C160" s="2254" t="s">
        <v>407</v>
      </c>
      <c r="D160" s="1230" t="str">
        <f>D161</f>
        <v>600 03 04</v>
      </c>
      <c r="E160" s="1193"/>
      <c r="F160" s="1564"/>
      <c r="G160" s="2830">
        <f>G161</f>
        <v>0</v>
      </c>
      <c r="H160" s="2855"/>
      <c r="I160" s="2885" t="e">
        <f t="shared" si="2"/>
        <v>#DIV/0!</v>
      </c>
    </row>
    <row r="161" spans="1:9" ht="16.5" customHeight="1" hidden="1">
      <c r="A161" s="2152" t="str">
        <f>'Бюд.р.'!A402</f>
        <v>Прочая закупка товаров, работ и услуг для муниципальных нужд</v>
      </c>
      <c r="B161" s="1919" t="s">
        <v>631</v>
      </c>
      <c r="C161" s="2101" t="s">
        <v>407</v>
      </c>
      <c r="D161" s="1193" t="str">
        <f>'Бюд.р.'!D402</f>
        <v>600 03 04</v>
      </c>
      <c r="E161" s="1193">
        <f>'Бюд.р.'!F402</f>
        <v>244</v>
      </c>
      <c r="F161" s="2191"/>
      <c r="G161" s="2830">
        <f>'Бюд.р.'!H404</f>
        <v>0</v>
      </c>
      <c r="H161" s="2855"/>
      <c r="I161" s="2885" t="e">
        <f t="shared" si="2"/>
        <v>#DIV/0!</v>
      </c>
    </row>
    <row r="162" spans="1:9" ht="23.25" thickBot="1">
      <c r="A162" s="2149" t="s">
        <v>1028</v>
      </c>
      <c r="B162" s="2131">
        <v>968</v>
      </c>
      <c r="C162" s="2254" t="s">
        <v>407</v>
      </c>
      <c r="D162" s="1230" t="str">
        <f>D163</f>
        <v>600 03 05</v>
      </c>
      <c r="E162" s="1261"/>
      <c r="F162" s="2191"/>
      <c r="G162" s="2832">
        <f>G163</f>
        <v>150</v>
      </c>
      <c r="H162" s="2832">
        <f>H163</f>
        <v>0</v>
      </c>
      <c r="I162" s="2885">
        <f t="shared" si="2"/>
        <v>0</v>
      </c>
    </row>
    <row r="163" spans="1:9" ht="24" customHeight="1" thickBot="1">
      <c r="A163" s="2152" t="str">
        <f>'Бюд.р.'!A406</f>
        <v>Закупка товаров, работ и услуг  для государственных (муниципальных) нужд</v>
      </c>
      <c r="B163" s="1919" t="s">
        <v>631</v>
      </c>
      <c r="C163" s="1193" t="s">
        <v>407</v>
      </c>
      <c r="D163" s="1193" t="str">
        <f>'Бюд.р.'!D407</f>
        <v>600 03 05</v>
      </c>
      <c r="E163" s="1193">
        <v>200</v>
      </c>
      <c r="F163" s="2191"/>
      <c r="G163" s="2830">
        <v>150</v>
      </c>
      <c r="H163" s="2855">
        <v>0</v>
      </c>
      <c r="I163" s="2887">
        <f t="shared" si="2"/>
        <v>0</v>
      </c>
    </row>
    <row r="164" spans="1:9" ht="12.75" customHeight="1" thickBot="1">
      <c r="A164" s="1654" t="s">
        <v>1029</v>
      </c>
      <c r="B164" s="2116" t="s">
        <v>631</v>
      </c>
      <c r="C164" s="2852" t="s">
        <v>407</v>
      </c>
      <c r="D164" s="2852" t="s">
        <v>714</v>
      </c>
      <c r="E164" s="1261"/>
      <c r="F164" s="2191"/>
      <c r="G164" s="2829">
        <f>G165+G167+G169</f>
        <v>5232.3</v>
      </c>
      <c r="H164" s="2829">
        <f>H165+H167+H169</f>
        <v>2277.7</v>
      </c>
      <c r="I164" s="2885">
        <f t="shared" si="2"/>
        <v>43.53152533302754</v>
      </c>
    </row>
    <row r="165" spans="1:9" ht="21.75" customHeight="1" thickBot="1">
      <c r="A165" s="2149" t="s">
        <v>1030</v>
      </c>
      <c r="B165" s="2119" t="s">
        <v>631</v>
      </c>
      <c r="C165" s="1189" t="s">
        <v>407</v>
      </c>
      <c r="D165" s="1189" t="s">
        <v>715</v>
      </c>
      <c r="E165" s="1232"/>
      <c r="F165" s="1764"/>
      <c r="G165" s="2832">
        <f>G166</f>
        <v>4088.3</v>
      </c>
      <c r="H165" s="2832">
        <f>H166</f>
        <v>1728.1</v>
      </c>
      <c r="I165" s="2885">
        <f t="shared" si="2"/>
        <v>42.269402930313326</v>
      </c>
    </row>
    <row r="166" spans="1:9" ht="27" customHeight="1" thickBot="1">
      <c r="A166" s="2152" t="str">
        <f>'Бюд.р.'!A412</f>
        <v>Закупка товаров, работ и услуг  для государственных (муниципальных) нужд</v>
      </c>
      <c r="B166" s="1919" t="s">
        <v>631</v>
      </c>
      <c r="C166" s="1193" t="s">
        <v>407</v>
      </c>
      <c r="D166" s="1193" t="str">
        <f>'Бюд.р.'!D413</f>
        <v>600 04 01</v>
      </c>
      <c r="E166" s="1193">
        <v>200</v>
      </c>
      <c r="F166" s="2191"/>
      <c r="G166" s="2830">
        <v>4088.3</v>
      </c>
      <c r="H166" s="2855">
        <v>1728.1</v>
      </c>
      <c r="I166" s="2887">
        <f t="shared" si="2"/>
        <v>42.269402930313326</v>
      </c>
    </row>
    <row r="167" spans="1:9" ht="23.25" customHeight="1" thickBot="1">
      <c r="A167" s="2150" t="s">
        <v>1031</v>
      </c>
      <c r="B167" s="2119" t="s">
        <v>631</v>
      </c>
      <c r="C167" s="1189" t="s">
        <v>407</v>
      </c>
      <c r="D167" s="1189" t="s">
        <v>730</v>
      </c>
      <c r="E167" s="1232"/>
      <c r="F167" s="2191"/>
      <c r="G167" s="2833">
        <f>G168</f>
        <v>1144</v>
      </c>
      <c r="H167" s="2833">
        <f>H168</f>
        <v>549.6</v>
      </c>
      <c r="I167" s="2885">
        <f t="shared" si="2"/>
        <v>48.04195804195805</v>
      </c>
    </row>
    <row r="168" spans="1:9" ht="24.75" customHeight="1" thickBot="1">
      <c r="A168" s="2152" t="str">
        <f>'Бюд.р.'!A420</f>
        <v>Закупка товаров, работ и услуг  для государственных (муниципальных) нужд</v>
      </c>
      <c r="B168" s="1919" t="s">
        <v>631</v>
      </c>
      <c r="C168" s="1193" t="s">
        <v>407</v>
      </c>
      <c r="D168" s="1193" t="str">
        <f>'Бюд.р.'!D421</f>
        <v>600 04 02</v>
      </c>
      <c r="E168" s="1193">
        <v>200</v>
      </c>
      <c r="F168" s="2191"/>
      <c r="G168" s="2830">
        <v>1144</v>
      </c>
      <c r="H168" s="2855">
        <v>549.6</v>
      </c>
      <c r="I168" s="2887">
        <f t="shared" si="2"/>
        <v>48.04195804195805</v>
      </c>
    </row>
    <row r="169" spans="1:9" ht="22.5" customHeight="1" hidden="1">
      <c r="A169" s="1654" t="s">
        <v>142</v>
      </c>
      <c r="B169" s="2119" t="s">
        <v>631</v>
      </c>
      <c r="C169" s="1189" t="s">
        <v>407</v>
      </c>
      <c r="D169" s="1189" t="s">
        <v>895</v>
      </c>
      <c r="E169" s="1232"/>
      <c r="F169" s="1764"/>
      <c r="G169" s="2832">
        <f>G170</f>
        <v>0</v>
      </c>
      <c r="H169" s="2855"/>
      <c r="I169" s="2884" t="e">
        <f t="shared" si="2"/>
        <v>#DIV/0!</v>
      </c>
    </row>
    <row r="170" spans="1:9" ht="12" customHeight="1" hidden="1">
      <c r="A170" s="2152" t="str">
        <f>'Бюд.р.'!A426</f>
        <v>Прочая закупка товаров, работ и услуг для муниципальных нужд</v>
      </c>
      <c r="B170" s="1919" t="s">
        <v>631</v>
      </c>
      <c r="C170" s="1193" t="s">
        <v>407</v>
      </c>
      <c r="D170" s="1193" t="s">
        <v>895</v>
      </c>
      <c r="E170" s="1193">
        <f>'Бюд.р.'!F426</f>
        <v>244</v>
      </c>
      <c r="F170" s="2191"/>
      <c r="G170" s="2830">
        <f>'Бюд.р.'!H426</f>
        <v>0</v>
      </c>
      <c r="H170" s="2855"/>
      <c r="I170" s="2884" t="e">
        <f t="shared" si="2"/>
        <v>#DIV/0!</v>
      </c>
    </row>
    <row r="171" spans="1:9" ht="23.25" hidden="1" thickBot="1">
      <c r="A171" s="2145" t="s">
        <v>731</v>
      </c>
      <c r="B171" s="2119" t="s">
        <v>631</v>
      </c>
      <c r="C171" s="1189" t="s">
        <v>407</v>
      </c>
      <c r="D171" s="1189" t="s">
        <v>732</v>
      </c>
      <c r="E171" s="1232"/>
      <c r="F171" s="1764"/>
      <c r="G171" s="2832">
        <f>G172</f>
        <v>0</v>
      </c>
      <c r="H171" s="2855"/>
      <c r="I171" s="2884" t="e">
        <f t="shared" si="2"/>
        <v>#DIV/0!</v>
      </c>
    </row>
    <row r="172" spans="1:9" ht="14.25" customHeight="1" hidden="1">
      <c r="A172" s="2141" t="s">
        <v>426</v>
      </c>
      <c r="B172" s="1919" t="s">
        <v>631</v>
      </c>
      <c r="C172" s="1193" t="s">
        <v>407</v>
      </c>
      <c r="D172" s="1193" t="s">
        <v>732</v>
      </c>
      <c r="E172" s="1193" t="s">
        <v>800</v>
      </c>
      <c r="F172" s="2191"/>
      <c r="G172" s="2830">
        <f>'Бюд.р.'!H430</f>
        <v>0</v>
      </c>
      <c r="H172" s="2855"/>
      <c r="I172" s="2884" t="e">
        <f t="shared" si="2"/>
        <v>#DIV/0!</v>
      </c>
    </row>
    <row r="173" spans="1:9" ht="25.5" customHeight="1" hidden="1">
      <c r="A173" s="2149" t="s">
        <v>897</v>
      </c>
      <c r="B173" s="2122">
        <v>968</v>
      </c>
      <c r="C173" s="1211">
        <v>503</v>
      </c>
      <c r="D173" s="1211" t="s">
        <v>895</v>
      </c>
      <c r="E173" s="1211"/>
      <c r="F173" s="1764"/>
      <c r="G173" s="2832">
        <f>G174</f>
        <v>0</v>
      </c>
      <c r="H173" s="2855"/>
      <c r="I173" s="2884" t="e">
        <f t="shared" si="2"/>
        <v>#DIV/0!</v>
      </c>
    </row>
    <row r="174" spans="1:9" ht="14.25" customHeight="1" hidden="1" thickBot="1">
      <c r="A174" s="2152" t="s">
        <v>426</v>
      </c>
      <c r="B174" s="2124">
        <v>968</v>
      </c>
      <c r="C174" s="1215">
        <v>503</v>
      </c>
      <c r="D174" s="1215" t="s">
        <v>895</v>
      </c>
      <c r="E174" s="1215">
        <v>500</v>
      </c>
      <c r="F174" s="2192"/>
      <c r="G174" s="2834">
        <f>'Бюд.р.'!H430</f>
        <v>0</v>
      </c>
      <c r="H174" s="2855"/>
      <c r="I174" s="2884" t="e">
        <f t="shared" si="2"/>
        <v>#DIV/0!</v>
      </c>
    </row>
    <row r="175" spans="1:9" ht="13.5" hidden="1" thickBot="1">
      <c r="A175" s="2143" t="s">
        <v>733</v>
      </c>
      <c r="B175" s="2117" t="s">
        <v>631</v>
      </c>
      <c r="C175" s="2100" t="s">
        <v>734</v>
      </c>
      <c r="D175" s="2110"/>
      <c r="E175" s="2110"/>
      <c r="F175" s="2193"/>
      <c r="G175" s="2839">
        <f>G176</f>
        <v>0</v>
      </c>
      <c r="H175" s="2855"/>
      <c r="I175" s="2884" t="e">
        <f t="shared" si="2"/>
        <v>#DIV/0!</v>
      </c>
    </row>
    <row r="176" spans="1:9" ht="26.25" customHeight="1" hidden="1">
      <c r="A176" s="2144" t="s">
        <v>736</v>
      </c>
      <c r="B176" s="2118" t="s">
        <v>631</v>
      </c>
      <c r="C176" s="1186" t="s">
        <v>735</v>
      </c>
      <c r="D176" s="2107"/>
      <c r="E176" s="2107"/>
      <c r="F176" s="2188"/>
      <c r="G176" s="2841">
        <f>G177</f>
        <v>0</v>
      </c>
      <c r="H176" s="2855"/>
      <c r="I176" s="2884" t="e">
        <f t="shared" si="2"/>
        <v>#DIV/0!</v>
      </c>
    </row>
    <row r="177" spans="1:9" ht="23.25" hidden="1" thickBot="1">
      <c r="A177" s="2164" t="s">
        <v>737</v>
      </c>
      <c r="B177" s="2119" t="s">
        <v>631</v>
      </c>
      <c r="C177" s="1189" t="s">
        <v>735</v>
      </c>
      <c r="D177" s="1189" t="s">
        <v>738</v>
      </c>
      <c r="E177" s="1189"/>
      <c r="F177" s="1764"/>
      <c r="G177" s="2832">
        <f>G178</f>
        <v>0</v>
      </c>
      <c r="H177" s="2855"/>
      <c r="I177" s="2884" t="e">
        <f t="shared" si="2"/>
        <v>#DIV/0!</v>
      </c>
    </row>
    <row r="178" spans="1:9" ht="15" customHeight="1" hidden="1" thickBot="1">
      <c r="A178" s="2152" t="str">
        <f>'Бюд.р.'!A436</f>
        <v>Прочая закупка товаров, работ и услуг для муниципальных нужд</v>
      </c>
      <c r="B178" s="1919" t="s">
        <v>631</v>
      </c>
      <c r="C178" s="1193" t="s">
        <v>735</v>
      </c>
      <c r="D178" s="1193" t="s">
        <v>738</v>
      </c>
      <c r="E178" s="1193">
        <f>'Бюд.р.'!F436</f>
        <v>244</v>
      </c>
      <c r="F178" s="2191"/>
      <c r="G178" s="2830">
        <f>'Бюд.р.'!H436</f>
        <v>0</v>
      </c>
      <c r="H178" s="2855"/>
      <c r="I178" s="2884" t="e">
        <f t="shared" si="2"/>
        <v>#DIV/0!</v>
      </c>
    </row>
    <row r="179" spans="1:9" ht="13.5" hidden="1" thickBot="1">
      <c r="A179" s="2143" t="s">
        <v>271</v>
      </c>
      <c r="B179" s="2117" t="s">
        <v>631</v>
      </c>
      <c r="C179" s="2100" t="s">
        <v>379</v>
      </c>
      <c r="D179" s="2110"/>
      <c r="E179" s="2106"/>
      <c r="F179" s="2194"/>
      <c r="G179" s="2839">
        <f>G186+G197+G180</f>
        <v>4268.6</v>
      </c>
      <c r="H179" s="2855"/>
      <c r="I179" s="2884">
        <f t="shared" si="2"/>
        <v>0</v>
      </c>
    </row>
    <row r="180" spans="1:9" ht="24.75" customHeight="1" thickBot="1">
      <c r="A180" s="2861" t="s">
        <v>1053</v>
      </c>
      <c r="B180" s="2862" t="s">
        <v>631</v>
      </c>
      <c r="C180" s="2863" t="s">
        <v>1054</v>
      </c>
      <c r="D180" s="2872"/>
      <c r="E180" s="2875"/>
      <c r="F180" s="2876"/>
      <c r="G180" s="2865">
        <f>G181</f>
        <v>255</v>
      </c>
      <c r="H180" s="2865">
        <f>H181</f>
        <v>164.4</v>
      </c>
      <c r="I180" s="2886">
        <f t="shared" si="2"/>
        <v>64.47058823529413</v>
      </c>
    </row>
    <row r="181" spans="1:9" ht="57" thickBot="1">
      <c r="A181" s="2145" t="s">
        <v>1061</v>
      </c>
      <c r="B181" s="2119" t="s">
        <v>631</v>
      </c>
      <c r="C181" s="1189" t="s">
        <v>1054</v>
      </c>
      <c r="D181" s="1189" t="str">
        <f>'Бюд.р.'!D442</f>
        <v>428 01 00</v>
      </c>
      <c r="E181" s="1189"/>
      <c r="F181" s="1762"/>
      <c r="G181" s="2832">
        <v>255</v>
      </c>
      <c r="H181" s="2832">
        <f>H182+H184</f>
        <v>164.4</v>
      </c>
      <c r="I181" s="2885">
        <f t="shared" si="2"/>
        <v>64.47058823529413</v>
      </c>
    </row>
    <row r="182" spans="1:9" ht="36.75" customHeight="1" thickBot="1">
      <c r="A182" s="2145" t="s">
        <v>1064</v>
      </c>
      <c r="B182" s="2130" t="s">
        <v>631</v>
      </c>
      <c r="C182" s="1227" t="s">
        <v>1054</v>
      </c>
      <c r="D182" s="1227" t="str">
        <f>'Бюд.р.'!D443</f>
        <v>428 01 01</v>
      </c>
      <c r="E182" s="1227"/>
      <c r="F182" s="1563"/>
      <c r="G182" s="2840">
        <f>G183</f>
        <v>17</v>
      </c>
      <c r="H182" s="2840">
        <f>H183</f>
        <v>0</v>
      </c>
      <c r="I182" s="2885">
        <f t="shared" si="2"/>
        <v>0</v>
      </c>
    </row>
    <row r="183" spans="1:9" ht="22.5" customHeight="1" thickBot="1">
      <c r="A183" s="2152" t="str">
        <f>'Бюд.р.'!A444</f>
        <v>Закупка товаров, работ и услуг  для государственных (муниципальных) нужд</v>
      </c>
      <c r="B183" s="1919" t="s">
        <v>631</v>
      </c>
      <c r="C183" s="1193">
        <v>705</v>
      </c>
      <c r="D183" s="1193" t="str">
        <f>'Бюд.р.'!D445</f>
        <v>428 01 01</v>
      </c>
      <c r="E183" s="1193">
        <v>200</v>
      </c>
      <c r="F183" s="1564"/>
      <c r="G183" s="2830">
        <v>17</v>
      </c>
      <c r="H183" s="2855">
        <v>0</v>
      </c>
      <c r="I183" s="2887">
        <f t="shared" si="2"/>
        <v>0</v>
      </c>
    </row>
    <row r="184" spans="1:9" ht="23.25" thickBot="1">
      <c r="A184" s="2149" t="s">
        <v>1065</v>
      </c>
      <c r="B184" s="2130" t="s">
        <v>631</v>
      </c>
      <c r="C184" s="1227" t="s">
        <v>1054</v>
      </c>
      <c r="D184" s="1227" t="str">
        <f>'Бюд.р.'!D448</f>
        <v>428 01 02</v>
      </c>
      <c r="E184" s="1227"/>
      <c r="F184" s="1563"/>
      <c r="G184" s="2840">
        <f>G185</f>
        <v>238</v>
      </c>
      <c r="H184" s="2840">
        <f>H185</f>
        <v>164.4</v>
      </c>
      <c r="I184" s="2885">
        <f t="shared" si="2"/>
        <v>69.07563025210084</v>
      </c>
    </row>
    <row r="185" spans="1:9" ht="23.25" customHeight="1" thickBot="1">
      <c r="A185" s="2152" t="str">
        <f>'Бюд.р.'!A449</f>
        <v>Закупка товаров, работ и услуг  для государственных (муниципальных) нужд</v>
      </c>
      <c r="B185" s="1919" t="s">
        <v>631</v>
      </c>
      <c r="C185" s="2101" t="s">
        <v>1054</v>
      </c>
      <c r="D185" s="1193" t="str">
        <f>'Бюд.р.'!D450</f>
        <v>428 01 02</v>
      </c>
      <c r="E185" s="1193">
        <v>200</v>
      </c>
      <c r="F185" s="1564"/>
      <c r="G185" s="2830">
        <v>238</v>
      </c>
      <c r="H185" s="2855">
        <v>164.4</v>
      </c>
      <c r="I185" s="2887">
        <f t="shared" si="2"/>
        <v>69.07563025210084</v>
      </c>
    </row>
    <row r="186" spans="1:9" ht="15.75" customHeight="1" thickBot="1">
      <c r="A186" s="2861" t="s">
        <v>378</v>
      </c>
      <c r="B186" s="2862" t="s">
        <v>631</v>
      </c>
      <c r="C186" s="2863" t="s">
        <v>380</v>
      </c>
      <c r="D186" s="2872"/>
      <c r="E186" s="2875"/>
      <c r="F186" s="2876"/>
      <c r="G186" s="2865">
        <f>G187+G189+G191+G193+G195</f>
        <v>3865.1000000000004</v>
      </c>
      <c r="H186" s="2865">
        <f>H187+H189+H191+H193+H195</f>
        <v>3647.8</v>
      </c>
      <c r="I186" s="2886">
        <f t="shared" si="2"/>
        <v>94.37789449173371</v>
      </c>
    </row>
    <row r="187" spans="1:9" ht="34.5" thickBot="1">
      <c r="A187" s="2145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B187" s="2132">
        <v>968</v>
      </c>
      <c r="C187" s="1196">
        <f>'Бюд.р.'!C454</f>
        <v>707</v>
      </c>
      <c r="D187" s="1196" t="str">
        <f>'Бюд.р.'!D454</f>
        <v>795 01 00</v>
      </c>
      <c r="E187" s="1196"/>
      <c r="F187" s="2176"/>
      <c r="G187" s="2842">
        <f>G188</f>
        <v>865.5</v>
      </c>
      <c r="H187" s="2842">
        <f>H188</f>
        <v>784.5</v>
      </c>
      <c r="I187" s="2885">
        <f t="shared" si="2"/>
        <v>90.64124783362219</v>
      </c>
    </row>
    <row r="188" spans="1:9" ht="23.25" thickBot="1">
      <c r="A188" s="2165" t="str">
        <f>'Бюд.р.'!A455</f>
        <v>Закупка товаров, работ и услуг  для государственных (муниципальных) нужд</v>
      </c>
      <c r="B188" s="2121">
        <f>'Бюд.р.'!B456</f>
        <v>968</v>
      </c>
      <c r="C188" s="1259">
        <f>'Бюд.р.'!C456</f>
        <v>707</v>
      </c>
      <c r="D188" s="1259" t="str">
        <f>'Бюд.р.'!D456</f>
        <v>795 01 00</v>
      </c>
      <c r="E188" s="1259">
        <v>200</v>
      </c>
      <c r="F188" s="2195"/>
      <c r="G188" s="2831">
        <v>865.5</v>
      </c>
      <c r="H188" s="2855">
        <v>784.5</v>
      </c>
      <c r="I188" s="2887">
        <f t="shared" si="2"/>
        <v>90.64124783362219</v>
      </c>
    </row>
    <row r="189" spans="1:9" ht="46.5" customHeight="1" thickBot="1">
      <c r="A189" s="1654" t="str">
        <f>'Бюд.р.'!A460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189" s="2130">
        <v>968</v>
      </c>
      <c r="C189" s="1260">
        <f>'Бюд.р.'!C460</f>
        <v>707</v>
      </c>
      <c r="D189" s="1260" t="str">
        <f>'Бюд.р.'!D460</f>
        <v>795 04 00</v>
      </c>
      <c r="E189" s="1260"/>
      <c r="F189" s="1590"/>
      <c r="G189" s="2843">
        <f>G190</f>
        <v>185</v>
      </c>
      <c r="H189" s="2843">
        <f>H190</f>
        <v>123</v>
      </c>
      <c r="I189" s="2885">
        <f t="shared" si="2"/>
        <v>66.48648648648648</v>
      </c>
    </row>
    <row r="190" spans="1:9" ht="24.75" customHeight="1" thickBot="1">
      <c r="A190" s="2671" t="str">
        <f>'Бюд.р.'!A461</f>
        <v>Закупка товаров, работ и услуг  для государственных (муниципальных) нужд</v>
      </c>
      <c r="B190" s="2693">
        <v>968</v>
      </c>
      <c r="C190" s="2475">
        <v>707</v>
      </c>
      <c r="D190" s="2475" t="str">
        <f>'Бюд.р.'!D462</f>
        <v>795 04 00</v>
      </c>
      <c r="E190" s="2475">
        <v>200</v>
      </c>
      <c r="F190" s="1590"/>
      <c r="G190" s="2830">
        <v>185</v>
      </c>
      <c r="H190" s="2855">
        <v>123</v>
      </c>
      <c r="I190" s="2887">
        <f t="shared" si="2"/>
        <v>66.48648648648648</v>
      </c>
    </row>
    <row r="191" spans="1:9" ht="48" customHeight="1" thickBot="1">
      <c r="A191" s="2145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191" s="2130">
        <f>'Бюд.р.'!B482</f>
        <v>968</v>
      </c>
      <c r="C191" s="1227">
        <f>'Бюд.р.'!C482</f>
        <v>707</v>
      </c>
      <c r="D191" s="1227" t="str">
        <f>'Бюд.р.'!D482</f>
        <v>795 05 00</v>
      </c>
      <c r="E191" s="1227"/>
      <c r="F191" s="1563"/>
      <c r="G191" s="2840">
        <f>G192</f>
        <v>100</v>
      </c>
      <c r="H191" s="2840">
        <f>H192</f>
        <v>25.7</v>
      </c>
      <c r="I191" s="2885">
        <f t="shared" si="2"/>
        <v>25.7</v>
      </c>
    </row>
    <row r="192" spans="1:9" ht="22.5" customHeight="1" thickBot="1">
      <c r="A192" s="2169" t="str">
        <f>'Бюд.р.'!A483</f>
        <v>Закупка товаров, работ и услуг  для государственных (муниципальных) нужд</v>
      </c>
      <c r="B192" s="1919">
        <f>'Бюд.р.'!B484</f>
        <v>968</v>
      </c>
      <c r="C192" s="1193">
        <f>'Бюд.р.'!C484</f>
        <v>707</v>
      </c>
      <c r="D192" s="1193" t="str">
        <f>'Бюд.р.'!D484</f>
        <v>795 05 00</v>
      </c>
      <c r="E192" s="1193">
        <v>200</v>
      </c>
      <c r="F192" s="1564"/>
      <c r="G192" s="2830">
        <v>100</v>
      </c>
      <c r="H192" s="2855">
        <v>25.7</v>
      </c>
      <c r="I192" s="2887">
        <f t="shared" si="2"/>
        <v>25.7</v>
      </c>
    </row>
    <row r="193" spans="1:9" ht="24" customHeight="1" thickBot="1">
      <c r="A193" s="2145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B193" s="2130" t="s">
        <v>631</v>
      </c>
      <c r="C193" s="1227" t="s">
        <v>380</v>
      </c>
      <c r="D193" s="1227" t="str">
        <f>'Бюд.р.'!D475</f>
        <v>795 06 00</v>
      </c>
      <c r="E193" s="1227"/>
      <c r="F193" s="1563"/>
      <c r="G193" s="2840">
        <f>G194</f>
        <v>1610.9</v>
      </c>
      <c r="H193" s="2840">
        <f>H194</f>
        <v>1610.9</v>
      </c>
      <c r="I193" s="2885">
        <f t="shared" si="2"/>
        <v>100</v>
      </c>
    </row>
    <row r="194" spans="1:9" ht="23.25" customHeight="1" thickBot="1">
      <c r="A194" s="2169" t="str">
        <f>'Бюд.р.'!A474</f>
        <v>Закупка товаров, работ и услуг  для государственных (муниципальных) нужд</v>
      </c>
      <c r="B194" s="1919" t="s">
        <v>631</v>
      </c>
      <c r="C194" s="1193" t="s">
        <v>380</v>
      </c>
      <c r="D194" s="1193" t="str">
        <f>'Бюд.р.'!D473</f>
        <v>795 06 00</v>
      </c>
      <c r="E194" s="1193">
        <v>200</v>
      </c>
      <c r="F194" s="1564"/>
      <c r="G194" s="2830">
        <v>1610.9</v>
      </c>
      <c r="H194" s="2855">
        <v>1610.9</v>
      </c>
      <c r="I194" s="2887">
        <f t="shared" si="2"/>
        <v>100</v>
      </c>
    </row>
    <row r="195" spans="1:9" ht="23.25" customHeight="1" thickBot="1">
      <c r="A195" s="2145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B195" s="2119" t="s">
        <v>631</v>
      </c>
      <c r="C195" s="1189" t="s">
        <v>380</v>
      </c>
      <c r="D195" s="1189" t="str">
        <f>'Бюд.р.'!D465</f>
        <v>795 08 00</v>
      </c>
      <c r="E195" s="1189"/>
      <c r="F195" s="1762"/>
      <c r="G195" s="2832">
        <f>G196</f>
        <v>1103.7</v>
      </c>
      <c r="H195" s="2832">
        <f>H196</f>
        <v>1103.7</v>
      </c>
      <c r="I195" s="2885">
        <f t="shared" si="2"/>
        <v>100</v>
      </c>
    </row>
    <row r="196" spans="1:9" ht="23.25" thickBot="1">
      <c r="A196" s="2152" t="str">
        <f>'Бюд.р.'!A466</f>
        <v>Закупка товаров, работ и услуг  для государственных (муниципальных) нужд</v>
      </c>
      <c r="B196" s="1919" t="s">
        <v>631</v>
      </c>
      <c r="C196" s="1193" t="s">
        <v>380</v>
      </c>
      <c r="D196" s="1193" t="str">
        <f>'Бюд.р.'!D467</f>
        <v>795 08 00</v>
      </c>
      <c r="E196" s="1193">
        <v>200</v>
      </c>
      <c r="F196" s="1564"/>
      <c r="G196" s="2830">
        <v>1103.7</v>
      </c>
      <c r="H196" s="2855">
        <v>1103.7</v>
      </c>
      <c r="I196" s="2887">
        <f t="shared" si="2"/>
        <v>100</v>
      </c>
    </row>
    <row r="197" spans="1:9" ht="13.5" thickBot="1">
      <c r="A197" s="2874" t="s">
        <v>10</v>
      </c>
      <c r="B197" s="2862" t="s">
        <v>631</v>
      </c>
      <c r="C197" s="2863" t="s">
        <v>14</v>
      </c>
      <c r="D197" s="2872"/>
      <c r="E197" s="2875"/>
      <c r="F197" s="2876"/>
      <c r="G197" s="2865">
        <f>G198+G200</f>
        <v>148.5</v>
      </c>
      <c r="H197" s="2865">
        <f>H198+H200</f>
        <v>118</v>
      </c>
      <c r="I197" s="2886">
        <f t="shared" si="2"/>
        <v>79.46127946127946</v>
      </c>
    </row>
    <row r="198" spans="1:9" ht="30" customHeight="1" thickBot="1">
      <c r="A198" s="2149" t="s">
        <v>1014</v>
      </c>
      <c r="B198" s="2119" t="s">
        <v>631</v>
      </c>
      <c r="C198" s="1189" t="s">
        <v>14</v>
      </c>
      <c r="D198" s="1189" t="s">
        <v>420</v>
      </c>
      <c r="E198" s="1189"/>
      <c r="F198" s="1762"/>
      <c r="G198" s="2832">
        <f>G199</f>
        <v>42</v>
      </c>
      <c r="H198" s="2832">
        <f>H199</f>
        <v>35</v>
      </c>
      <c r="I198" s="2885">
        <f t="shared" si="2"/>
        <v>83.33333333333334</v>
      </c>
    </row>
    <row r="199" spans="1:9" ht="25.5" customHeight="1" thickBot="1">
      <c r="A199" s="2152" t="str">
        <f>'Бюд.р.'!A491</f>
        <v>Закупка товаров, работ и услуг  для государственных (муниципальных) нужд</v>
      </c>
      <c r="B199" s="1919" t="s">
        <v>631</v>
      </c>
      <c r="C199" s="1193" t="s">
        <v>14</v>
      </c>
      <c r="D199" s="1193" t="str">
        <f>'Бюд.р.'!D492</f>
        <v>795 01 00</v>
      </c>
      <c r="E199" s="1193">
        <v>200</v>
      </c>
      <c r="F199" s="1564"/>
      <c r="G199" s="2830">
        <v>42</v>
      </c>
      <c r="H199" s="2855">
        <v>35</v>
      </c>
      <c r="I199" s="2887">
        <f t="shared" si="2"/>
        <v>83.33333333333334</v>
      </c>
    </row>
    <row r="200" spans="1:9" ht="23.25" thickBot="1">
      <c r="A200" s="2149" t="s">
        <v>1016</v>
      </c>
      <c r="B200" s="2119" t="s">
        <v>631</v>
      </c>
      <c r="C200" s="1189" t="s">
        <v>14</v>
      </c>
      <c r="D200" s="1189" t="s">
        <v>151</v>
      </c>
      <c r="E200" s="1189"/>
      <c r="F200" s="1762"/>
      <c r="G200" s="2832">
        <f>G201</f>
        <v>106.5</v>
      </c>
      <c r="H200" s="2832">
        <f>H201</f>
        <v>83</v>
      </c>
      <c r="I200" s="2885">
        <f t="shared" si="2"/>
        <v>77.93427230046949</v>
      </c>
    </row>
    <row r="201" spans="1:9" ht="22.5" customHeight="1" thickBot="1">
      <c r="A201" s="2152" t="str">
        <f>'Бюд.р.'!A500</f>
        <v>Закупка товаров, работ и услуг  для государственных (муниципальных) нужд</v>
      </c>
      <c r="B201" s="1919" t="s">
        <v>631</v>
      </c>
      <c r="C201" s="1193" t="s">
        <v>14</v>
      </c>
      <c r="D201" s="1193" t="str">
        <f>'Бюд.р.'!D501</f>
        <v>795 04 00</v>
      </c>
      <c r="E201" s="1193">
        <v>200</v>
      </c>
      <c r="F201" s="1564"/>
      <c r="G201" s="2830">
        <v>106.5</v>
      </c>
      <c r="H201" s="2855">
        <v>83</v>
      </c>
      <c r="I201" s="2887">
        <f t="shared" si="2"/>
        <v>77.93427230046949</v>
      </c>
    </row>
    <row r="202" spans="1:9" s="436" customFormat="1" ht="13.5" thickBot="1">
      <c r="A202" s="2861" t="s">
        <v>910</v>
      </c>
      <c r="B202" s="2862" t="s">
        <v>631</v>
      </c>
      <c r="C202" s="2863" t="s">
        <v>383</v>
      </c>
      <c r="D202" s="2870"/>
      <c r="E202" s="2870"/>
      <c r="F202" s="2871"/>
      <c r="G202" s="2865">
        <f>G203+G206</f>
        <v>10977</v>
      </c>
      <c r="H202" s="2865">
        <f>H203+H206</f>
        <v>8442.6</v>
      </c>
      <c r="I202" s="2886">
        <f t="shared" si="2"/>
        <v>76.91172451489479</v>
      </c>
    </row>
    <row r="203" spans="1:9" ht="13.5" thickBot="1">
      <c r="A203" s="2861" t="s">
        <v>691</v>
      </c>
      <c r="B203" s="2862" t="s">
        <v>631</v>
      </c>
      <c r="C203" s="2863" t="s">
        <v>384</v>
      </c>
      <c r="D203" s="2870"/>
      <c r="E203" s="2870"/>
      <c r="F203" s="2871"/>
      <c r="G203" s="2865">
        <f>G204</f>
        <v>9146.5</v>
      </c>
      <c r="H203" s="2865">
        <f>H204</f>
        <v>7571.4</v>
      </c>
      <c r="I203" s="2886">
        <f t="shared" si="2"/>
        <v>82.77920516044388</v>
      </c>
    </row>
    <row r="204" spans="1:9" ht="57" customHeight="1" thickBot="1">
      <c r="A204" s="1654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B204" s="2119" t="s">
        <v>631</v>
      </c>
      <c r="C204" s="1232" t="s">
        <v>384</v>
      </c>
      <c r="D204" s="1232" t="str">
        <f>'Бюд.р.'!D507</f>
        <v>795 09 00</v>
      </c>
      <c r="E204" s="1261"/>
      <c r="F204" s="2191"/>
      <c r="G204" s="2832">
        <f>G205</f>
        <v>9146.5</v>
      </c>
      <c r="H204" s="2832">
        <f>H205</f>
        <v>7571.4</v>
      </c>
      <c r="I204" s="2885">
        <f t="shared" si="2"/>
        <v>82.77920516044388</v>
      </c>
    </row>
    <row r="205" spans="1:9" ht="13.5" customHeight="1" thickBot="1">
      <c r="A205" s="2152" t="str">
        <f>'Бюд.р.'!A509</f>
        <v>Прочая закупка товаров, работ и услуг для муниципальных нужд</v>
      </c>
      <c r="B205" s="1919" t="s">
        <v>631</v>
      </c>
      <c r="C205" s="1193" t="s">
        <v>384</v>
      </c>
      <c r="D205" s="1193" t="str">
        <f>'Бюд.р.'!D509</f>
        <v>795 09 00</v>
      </c>
      <c r="E205" s="1193">
        <v>200</v>
      </c>
      <c r="F205" s="2191"/>
      <c r="G205" s="2830">
        <v>9146.5</v>
      </c>
      <c r="H205" s="2855">
        <v>7571.4</v>
      </c>
      <c r="I205" s="2887">
        <f t="shared" si="2"/>
        <v>82.77920516044388</v>
      </c>
    </row>
    <row r="206" spans="1:9" ht="21.75" customHeight="1" thickBot="1">
      <c r="A206" s="2877" t="s">
        <v>1220</v>
      </c>
      <c r="B206" s="2862" t="s">
        <v>631</v>
      </c>
      <c r="C206" s="2868" t="s">
        <v>1269</v>
      </c>
      <c r="D206" s="2870"/>
      <c r="E206" s="2870"/>
      <c r="F206" s="2871"/>
      <c r="G206" s="2865">
        <f>G207+G209</f>
        <v>1830.5</v>
      </c>
      <c r="H206" s="2865">
        <f>H207+H209</f>
        <v>871.2</v>
      </c>
      <c r="I206" s="2886">
        <f t="shared" si="2"/>
        <v>47.5935536738596</v>
      </c>
    </row>
    <row r="207" spans="1:9" ht="36" customHeight="1" thickBot="1">
      <c r="A207" s="1654" t="s">
        <v>1133</v>
      </c>
      <c r="B207" s="2130" t="s">
        <v>631</v>
      </c>
      <c r="C207" s="2646" t="s">
        <v>1269</v>
      </c>
      <c r="D207" s="1260" t="s">
        <v>1132</v>
      </c>
      <c r="E207" s="1260"/>
      <c r="F207" s="1590"/>
      <c r="G207" s="2840">
        <f>G208</f>
        <v>1334.8</v>
      </c>
      <c r="H207" s="2840">
        <f>H208</f>
        <v>697.2</v>
      </c>
      <c r="I207" s="2885">
        <f t="shared" si="2"/>
        <v>52.23254420137848</v>
      </c>
    </row>
    <row r="208" spans="1:9" ht="25.5" customHeight="1" thickBot="1">
      <c r="A208" s="2152" t="str">
        <f>'Бюд.р.'!A517</f>
        <v>Закупка товаров, работ и услуг  для государственных (муниципальных) нужд</v>
      </c>
      <c r="B208" s="1919" t="s">
        <v>631</v>
      </c>
      <c r="C208" s="2101" t="s">
        <v>1269</v>
      </c>
      <c r="D208" s="1193" t="str">
        <f>'Бюд.р.'!D518</f>
        <v>795 06 00</v>
      </c>
      <c r="E208" s="1193">
        <v>200</v>
      </c>
      <c r="F208" s="2191"/>
      <c r="G208" s="2830">
        <v>1334.8</v>
      </c>
      <c r="H208" s="2855">
        <v>697.2</v>
      </c>
      <c r="I208" s="2887">
        <f t="shared" si="2"/>
        <v>52.23254420137848</v>
      </c>
    </row>
    <row r="209" spans="1:9" ht="32.25" customHeight="1" thickBot="1">
      <c r="A209" s="2149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B209" s="2131">
        <f>'Бюд.р.'!B522</f>
        <v>968</v>
      </c>
      <c r="C209" s="1230">
        <f>'Бюд.р.'!C522</f>
        <v>804</v>
      </c>
      <c r="D209" s="1230" t="str">
        <f>'Бюд.р.'!D522</f>
        <v>795 08 00</v>
      </c>
      <c r="E209" s="1260"/>
      <c r="F209" s="1590"/>
      <c r="G209" s="2840">
        <f>G210</f>
        <v>495.7</v>
      </c>
      <c r="H209" s="2840">
        <f>H210</f>
        <v>174</v>
      </c>
      <c r="I209" s="2885">
        <f t="shared" si="2"/>
        <v>35.10187613475893</v>
      </c>
    </row>
    <row r="210" spans="1:9" ht="23.25" customHeight="1" thickBot="1">
      <c r="A210" s="2169" t="str">
        <f>'Бюд.р.'!A523</f>
        <v>Закупка товаров, работ и услуг  для государственных (муниципальных) нужд</v>
      </c>
      <c r="B210" s="2137">
        <f>'Бюд.р.'!B524</f>
        <v>968</v>
      </c>
      <c r="C210" s="1373">
        <f>'Бюд.р.'!C524</f>
        <v>804</v>
      </c>
      <c r="D210" s="1373" t="str">
        <f>'Бюд.р.'!D524</f>
        <v>795 08 00</v>
      </c>
      <c r="E210" s="1373">
        <v>200</v>
      </c>
      <c r="F210" s="1590"/>
      <c r="G210" s="2830">
        <v>495.7</v>
      </c>
      <c r="H210" s="2855">
        <v>174</v>
      </c>
      <c r="I210" s="2887">
        <f t="shared" si="2"/>
        <v>35.10187613475893</v>
      </c>
    </row>
    <row r="211" spans="1:9" ht="14.25" customHeight="1" thickBot="1">
      <c r="A211" s="2866" t="s">
        <v>967</v>
      </c>
      <c r="B211" s="2862" t="s">
        <v>631</v>
      </c>
      <c r="C211" s="2870" t="s">
        <v>971</v>
      </c>
      <c r="D211" s="2870"/>
      <c r="E211" s="2870"/>
      <c r="F211" s="2871"/>
      <c r="G211" s="2865">
        <f>G212</f>
        <v>970.2</v>
      </c>
      <c r="H211" s="2865">
        <f>H212</f>
        <v>717</v>
      </c>
      <c r="I211" s="2886">
        <f t="shared" si="2"/>
        <v>73.90228818800247</v>
      </c>
    </row>
    <row r="212" spans="1:9" ht="36" customHeight="1" thickBot="1">
      <c r="A212" s="2149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B212" s="2119" t="s">
        <v>631</v>
      </c>
      <c r="C212" s="1232" t="s">
        <v>971</v>
      </c>
      <c r="D212" s="1211" t="s">
        <v>969</v>
      </c>
      <c r="E212" s="1230"/>
      <c r="F212" s="1564"/>
      <c r="G212" s="2833">
        <f>G213</f>
        <v>970.2</v>
      </c>
      <c r="H212" s="2833">
        <f>H213</f>
        <v>717</v>
      </c>
      <c r="I212" s="2885">
        <f t="shared" si="2"/>
        <v>73.90228818800247</v>
      </c>
    </row>
    <row r="213" spans="1:9" ht="15.75" customHeight="1" thickBot="1">
      <c r="A213" s="2152" t="str">
        <f>'Бюд.р.'!A530</f>
        <v>Социальное обеспечение и иные выплаты населению</v>
      </c>
      <c r="B213" s="1919" t="s">
        <v>631</v>
      </c>
      <c r="C213" s="1263" t="s">
        <v>971</v>
      </c>
      <c r="D213" s="1264" t="str">
        <f>'Бюд.р.'!D531</f>
        <v>505 01 00</v>
      </c>
      <c r="E213" s="1215">
        <v>300</v>
      </c>
      <c r="F213" s="1575"/>
      <c r="G213" s="2834">
        <v>970.2</v>
      </c>
      <c r="H213" s="2855">
        <v>717</v>
      </c>
      <c r="I213" s="2887">
        <f t="shared" si="2"/>
        <v>73.90228818800247</v>
      </c>
    </row>
    <row r="214" spans="1:9" ht="12.75" customHeight="1" thickBot="1">
      <c r="A214" s="2866" t="s">
        <v>698</v>
      </c>
      <c r="B214" s="2862" t="s">
        <v>631</v>
      </c>
      <c r="C214" s="2870" t="s">
        <v>802</v>
      </c>
      <c r="D214" s="2870"/>
      <c r="E214" s="2870"/>
      <c r="F214" s="2871"/>
      <c r="G214" s="2865">
        <f>G215+G218+G220</f>
        <v>15941.699999999999</v>
      </c>
      <c r="H214" s="2865">
        <f>H215+H218+H220</f>
        <v>11387.2</v>
      </c>
      <c r="I214" s="2886">
        <f t="shared" si="2"/>
        <v>71.43027406111018</v>
      </c>
    </row>
    <row r="215" spans="1:9" ht="34.5" customHeight="1" thickBot="1">
      <c r="A215" s="2149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B215" s="2119" t="s">
        <v>631</v>
      </c>
      <c r="C215" s="1232" t="s">
        <v>802</v>
      </c>
      <c r="D215" s="1211" t="str">
        <f>'Бюд.р.'!D535</f>
        <v>002 80 31</v>
      </c>
      <c r="E215" s="1230"/>
      <c r="F215" s="1564"/>
      <c r="G215" s="2833">
        <f>SUM(G216:G217)</f>
        <v>3724</v>
      </c>
      <c r="H215" s="2833">
        <f>SUM(H216:H217)</f>
        <v>2762.4</v>
      </c>
      <c r="I215" s="2885">
        <f t="shared" si="2"/>
        <v>74.17830290010741</v>
      </c>
    </row>
    <row r="216" spans="1:9" ht="36.75" customHeight="1" thickBot="1">
      <c r="A216" s="2152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1919" t="s">
        <v>631</v>
      </c>
      <c r="C216" s="1263" t="s">
        <v>802</v>
      </c>
      <c r="D216" s="1264" t="str">
        <f>'Бюд.р.'!D537</f>
        <v>002  80 31</v>
      </c>
      <c r="E216" s="1215">
        <v>100</v>
      </c>
      <c r="F216" s="1575"/>
      <c r="G216" s="2834">
        <v>3469</v>
      </c>
      <c r="H216" s="2855">
        <v>2574.8</v>
      </c>
      <c r="I216" s="2887">
        <f aca="true" t="shared" si="3" ref="I216:I237">H216/G216*100</f>
        <v>74.22311905448257</v>
      </c>
    </row>
    <row r="217" spans="1:9" ht="24" customHeight="1" thickBot="1">
      <c r="A217" s="2152" t="str">
        <f>'Бюд.р.'!A542</f>
        <v>Закупка товаров, работ и услуг  для государственных (муниципальных) нужд</v>
      </c>
      <c r="B217" s="1919">
        <v>968</v>
      </c>
      <c r="C217" s="1263">
        <v>1004</v>
      </c>
      <c r="D217" s="1264" t="str">
        <f>'Бюд.р.'!D549</f>
        <v>002 80 31</v>
      </c>
      <c r="E217" s="1215">
        <v>200</v>
      </c>
      <c r="F217" s="1575"/>
      <c r="G217" s="2834">
        <v>255</v>
      </c>
      <c r="H217" s="2855">
        <v>187.6</v>
      </c>
      <c r="I217" s="2887">
        <f t="shared" si="3"/>
        <v>73.5686274509804</v>
      </c>
    </row>
    <row r="218" spans="1:9" ht="36" customHeight="1" thickBot="1">
      <c r="A218" s="2145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B218" s="2119" t="s">
        <v>631</v>
      </c>
      <c r="C218" s="1232" t="s">
        <v>802</v>
      </c>
      <c r="D218" s="1232" t="str">
        <f>'Бюд.р.'!D556</f>
        <v>511 80 32</v>
      </c>
      <c r="E218" s="1232"/>
      <c r="F218" s="1764"/>
      <c r="G218" s="2832">
        <f>G219</f>
        <v>9259.8</v>
      </c>
      <c r="H218" s="2832">
        <f>H219</f>
        <v>6542</v>
      </c>
      <c r="I218" s="2885">
        <f t="shared" si="3"/>
        <v>70.64947407071428</v>
      </c>
    </row>
    <row r="219" spans="1:9" ht="18.75" customHeight="1" thickBot="1">
      <c r="A219" s="2694" t="str">
        <f>'Бюд.р.'!A557</f>
        <v>Социальное обеспечение и иные выплаты населению</v>
      </c>
      <c r="B219" s="1919" t="s">
        <v>631</v>
      </c>
      <c r="C219" s="1263" t="s">
        <v>802</v>
      </c>
      <c r="D219" s="1259" t="str">
        <f>'Бюд.р.'!D558</f>
        <v>511 80 32</v>
      </c>
      <c r="E219" s="1263">
        <v>300</v>
      </c>
      <c r="F219" s="1764"/>
      <c r="G219" s="2830">
        <v>9259.8</v>
      </c>
      <c r="H219" s="2855">
        <v>6542</v>
      </c>
      <c r="I219" s="2887">
        <f t="shared" si="3"/>
        <v>70.64947407071428</v>
      </c>
    </row>
    <row r="220" spans="1:9" ht="34.5" customHeight="1" thickBot="1">
      <c r="A220" s="2145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B220" s="2119" t="s">
        <v>631</v>
      </c>
      <c r="C220" s="1232" t="s">
        <v>802</v>
      </c>
      <c r="D220" s="1232" t="str">
        <f>'Бюд.р.'!D561</f>
        <v>511 80 33</v>
      </c>
      <c r="E220" s="1232"/>
      <c r="F220" s="2197"/>
      <c r="G220" s="2833">
        <f>G221</f>
        <v>2957.9</v>
      </c>
      <c r="H220" s="2833">
        <f>H221</f>
        <v>2082.8</v>
      </c>
      <c r="I220" s="2885">
        <f t="shared" si="3"/>
        <v>70.41482132594071</v>
      </c>
    </row>
    <row r="221" spans="1:9" ht="18" customHeight="1" thickBot="1">
      <c r="A221" s="2694" t="str">
        <f>'Бюд.р.'!A562</f>
        <v>Социальное обеспечение и иные выплаты населению</v>
      </c>
      <c r="B221" s="1919" t="s">
        <v>631</v>
      </c>
      <c r="C221" s="1263" t="s">
        <v>802</v>
      </c>
      <c r="D221" s="1259" t="str">
        <f>'Бюд.р.'!D563</f>
        <v>511 80 33</v>
      </c>
      <c r="E221" s="1263">
        <v>300</v>
      </c>
      <c r="F221" s="2195"/>
      <c r="G221" s="2830">
        <v>2957.9</v>
      </c>
      <c r="H221" s="2855">
        <v>2082.8</v>
      </c>
      <c r="I221" s="2887">
        <f t="shared" si="3"/>
        <v>70.41482132594071</v>
      </c>
    </row>
    <row r="222" spans="1:9" ht="40.5" customHeight="1" hidden="1" thickBot="1">
      <c r="A222" s="2166" t="s">
        <v>857</v>
      </c>
      <c r="B222" s="2133" t="s">
        <v>858</v>
      </c>
      <c r="C222" s="1263"/>
      <c r="D222" s="1259"/>
      <c r="E222" s="1263"/>
      <c r="F222" s="1591"/>
      <c r="G222" s="2844">
        <f>G223</f>
        <v>0</v>
      </c>
      <c r="H222" s="2855"/>
      <c r="I222" s="2885" t="e">
        <f t="shared" si="3"/>
        <v>#DIV/0!</v>
      </c>
    </row>
    <row r="223" spans="1:9" ht="24.75" customHeight="1" hidden="1" thickBot="1">
      <c r="A223" s="2167" t="s">
        <v>111</v>
      </c>
      <c r="B223" s="2136" t="s">
        <v>858</v>
      </c>
      <c r="C223" s="2111" t="s">
        <v>456</v>
      </c>
      <c r="D223" s="2111"/>
      <c r="E223" s="2111"/>
      <c r="F223" s="2198"/>
      <c r="G223" s="2845">
        <f>G224</f>
        <v>0</v>
      </c>
      <c r="H223" s="2855"/>
      <c r="I223" s="2885" t="e">
        <f t="shared" si="3"/>
        <v>#DIV/0!</v>
      </c>
    </row>
    <row r="224" spans="1:9" ht="31.5" customHeight="1" hidden="1" thickBot="1">
      <c r="A224" s="2168" t="s">
        <v>23</v>
      </c>
      <c r="B224" s="2118">
        <v>917</v>
      </c>
      <c r="C224" s="1186" t="s">
        <v>525</v>
      </c>
      <c r="D224" s="1272"/>
      <c r="E224" s="1641"/>
      <c r="F224" s="1595"/>
      <c r="G224" s="2841">
        <f>G225</f>
        <v>0</v>
      </c>
      <c r="H224" s="2855"/>
      <c r="I224" s="2885" t="e">
        <f t="shared" si="3"/>
        <v>#DIV/0!</v>
      </c>
    </row>
    <row r="225" spans="1:9" ht="24.75" customHeight="1" hidden="1" thickBot="1">
      <c r="A225" s="2151" t="s">
        <v>149</v>
      </c>
      <c r="B225" s="2135">
        <v>917</v>
      </c>
      <c r="C225" s="1242" t="s">
        <v>525</v>
      </c>
      <c r="D225" s="1242" t="s">
        <v>150</v>
      </c>
      <c r="E225" s="1263"/>
      <c r="F225" s="1591"/>
      <c r="G225" s="2832">
        <f>G226</f>
        <v>0</v>
      </c>
      <c r="H225" s="2855"/>
      <c r="I225" s="2885" t="e">
        <f t="shared" si="3"/>
        <v>#DIV/0!</v>
      </c>
    </row>
    <row r="226" spans="1:9" ht="0.75" customHeight="1" thickBot="1">
      <c r="A226" s="2169" t="s">
        <v>426</v>
      </c>
      <c r="B226" s="2137">
        <v>917</v>
      </c>
      <c r="C226" s="1373" t="s">
        <v>525</v>
      </c>
      <c r="D226" s="1373" t="s">
        <v>150</v>
      </c>
      <c r="E226" s="1373">
        <v>500</v>
      </c>
      <c r="F226" s="1591"/>
      <c r="G226" s="2830">
        <f>'Бюд.р.'!H571</f>
        <v>0</v>
      </c>
      <c r="H226" s="2855"/>
      <c r="I226" s="2885" t="e">
        <f t="shared" si="3"/>
        <v>#DIV/0!</v>
      </c>
    </row>
    <row r="227" spans="1:9" s="436" customFormat="1" ht="11.25" customHeight="1" thickBot="1">
      <c r="A227" s="2818" t="s">
        <v>891</v>
      </c>
      <c r="B227" s="2129">
        <v>968</v>
      </c>
      <c r="C227" s="2819">
        <v>1100</v>
      </c>
      <c r="D227" s="2819"/>
      <c r="E227" s="2819"/>
      <c r="F227" s="2820"/>
      <c r="G227" s="2842">
        <f>G228</f>
        <v>3557.9</v>
      </c>
      <c r="H227" s="2842">
        <f>H228</f>
        <v>2658.9</v>
      </c>
      <c r="I227" s="2885">
        <f t="shared" si="3"/>
        <v>74.73228589898537</v>
      </c>
    </row>
    <row r="228" spans="1:9" ht="14.25" customHeight="1" thickBot="1">
      <c r="A228" s="2878" t="s">
        <v>892</v>
      </c>
      <c r="B228" s="2879">
        <v>968</v>
      </c>
      <c r="C228" s="2880">
        <v>1102</v>
      </c>
      <c r="D228" s="2880"/>
      <c r="E228" s="2880"/>
      <c r="F228" s="2881"/>
      <c r="G228" s="2882">
        <f>G229</f>
        <v>3557.9</v>
      </c>
      <c r="H228" s="2882">
        <f>H229</f>
        <v>2658.9</v>
      </c>
      <c r="I228" s="2886">
        <f t="shared" si="3"/>
        <v>74.73228589898537</v>
      </c>
    </row>
    <row r="229" spans="1:9" ht="32.25" customHeight="1" thickBot="1">
      <c r="A229" s="2149" t="s">
        <v>697</v>
      </c>
      <c r="B229" s="2122">
        <v>968</v>
      </c>
      <c r="C229" s="1211">
        <v>1102</v>
      </c>
      <c r="D229" s="1211" t="s">
        <v>1011</v>
      </c>
      <c r="E229" s="1211"/>
      <c r="F229" s="2200"/>
      <c r="G229" s="2833">
        <f>G232</f>
        <v>3557.9</v>
      </c>
      <c r="H229" s="2833">
        <f>H232</f>
        <v>2658.9</v>
      </c>
      <c r="I229" s="2885">
        <f t="shared" si="3"/>
        <v>74.73228589898537</v>
      </c>
    </row>
    <row r="230" spans="1:9" ht="18" customHeight="1" hidden="1" thickBot="1">
      <c r="A230" s="2152" t="str">
        <f>'Бюд.р.'!A578</f>
        <v>Иные закупки товаров, работ и услуг для муниципальных нужд</v>
      </c>
      <c r="B230" s="2124">
        <v>968</v>
      </c>
      <c r="C230" s="1215">
        <v>1102</v>
      </c>
      <c r="D230" s="1215" t="s">
        <v>1011</v>
      </c>
      <c r="E230" s="1215">
        <v>240</v>
      </c>
      <c r="F230" s="2200"/>
      <c r="G230" s="2834">
        <f>SUM(G231:G232)</f>
        <v>3557.9</v>
      </c>
      <c r="H230" s="2855"/>
      <c r="I230" s="2885">
        <f t="shared" si="3"/>
        <v>0</v>
      </c>
    </row>
    <row r="231" spans="1:9" ht="23.25" customHeight="1" hidden="1" thickBot="1">
      <c r="A231" s="2152" t="str">
        <f>'Бюд.р.'!A579</f>
        <v>Закупка товаров, работ, услуг в сфере информационно-коммуникационных технологий</v>
      </c>
      <c r="B231" s="2124">
        <f>'Бюд.р.'!B352</f>
        <v>968</v>
      </c>
      <c r="C231" s="1215">
        <v>1102</v>
      </c>
      <c r="D231" s="1215" t="s">
        <v>1011</v>
      </c>
      <c r="E231" s="1215">
        <v>242</v>
      </c>
      <c r="F231" s="2196"/>
      <c r="G231" s="2834">
        <f>'Бюд.р.'!H579</f>
        <v>0</v>
      </c>
      <c r="H231" s="2855"/>
      <c r="I231" s="2885" t="e">
        <f t="shared" si="3"/>
        <v>#DIV/0!</v>
      </c>
    </row>
    <row r="232" spans="1:9" ht="25.5" customHeight="1" thickBot="1">
      <c r="A232" s="2152" t="str">
        <f>'Бюд.р.'!A577</f>
        <v>Закупка товаров, работ и услуг  для государственных (муниципальных) нужд</v>
      </c>
      <c r="B232" s="2124">
        <f>'Бюд.р.'!B362</f>
        <v>968</v>
      </c>
      <c r="C232" s="1215">
        <v>1102</v>
      </c>
      <c r="D232" s="1215" t="str">
        <f>'Бюд.р.'!D582</f>
        <v>795 10 00</v>
      </c>
      <c r="E232" s="1215">
        <v>200</v>
      </c>
      <c r="F232" s="2196"/>
      <c r="G232" s="2834">
        <v>3557.9</v>
      </c>
      <c r="H232" s="2855">
        <v>2658.9</v>
      </c>
      <c r="I232" s="2887">
        <f t="shared" si="3"/>
        <v>74.73228589898537</v>
      </c>
    </row>
    <row r="233" spans="1:9" ht="16.5" customHeight="1" hidden="1" thickBot="1">
      <c r="A233" s="2170" t="s">
        <v>893</v>
      </c>
      <c r="B233" s="2138">
        <v>968</v>
      </c>
      <c r="C233" s="2112">
        <v>1200</v>
      </c>
      <c r="D233" s="2112"/>
      <c r="E233" s="2112"/>
      <c r="F233" s="2199"/>
      <c r="G233" s="2846">
        <f>G234</f>
        <v>1800</v>
      </c>
      <c r="H233" s="2855"/>
      <c r="I233" s="2884">
        <f t="shared" si="3"/>
        <v>0</v>
      </c>
    </row>
    <row r="234" spans="1:9" ht="13.5" customHeight="1" thickBot="1">
      <c r="A234" s="2878" t="s">
        <v>692</v>
      </c>
      <c r="B234" s="2879">
        <v>968</v>
      </c>
      <c r="C234" s="2880">
        <v>1202</v>
      </c>
      <c r="D234" s="2880"/>
      <c r="E234" s="2880"/>
      <c r="F234" s="2881"/>
      <c r="G234" s="2882">
        <f>G235</f>
        <v>1800</v>
      </c>
      <c r="H234" s="2882">
        <f>H235</f>
        <v>1182</v>
      </c>
      <c r="I234" s="2886">
        <f t="shared" si="3"/>
        <v>65.66666666666666</v>
      </c>
    </row>
    <row r="235" spans="1:9" ht="23.25" customHeight="1" thickBot="1">
      <c r="A235" s="2149" t="str">
        <f>'Бюд.р.'!A590</f>
        <v>ОПУБЛИКОВАНИЕ МУНИЦИПАЛЬНЫХ ПРАВОВЫХ АКТОВ, ИНОЙ ИНФОРМАЦИИ </v>
      </c>
      <c r="B235" s="2123">
        <v>968</v>
      </c>
      <c r="C235" s="1213">
        <v>1202</v>
      </c>
      <c r="D235" s="1213" t="s">
        <v>696</v>
      </c>
      <c r="E235" s="1213"/>
      <c r="F235" s="2201"/>
      <c r="G235" s="2833">
        <f>G236</f>
        <v>1800</v>
      </c>
      <c r="H235" s="2833">
        <f>H236</f>
        <v>1182</v>
      </c>
      <c r="I235" s="2885">
        <f t="shared" si="3"/>
        <v>65.66666666666666</v>
      </c>
    </row>
    <row r="236" spans="1:9" ht="23.25" customHeight="1" thickBot="1">
      <c r="A236" s="2171" t="str">
        <f>'Бюд.р.'!A591</f>
        <v>Закупка товаров, работ и услуг  для государственных (муниципальных) нужд</v>
      </c>
      <c r="B236" s="2139">
        <v>968</v>
      </c>
      <c r="C236" s="1479">
        <v>1202</v>
      </c>
      <c r="D236" s="1479" t="str">
        <f>'Бюд.р.'!D592</f>
        <v>457 03 00</v>
      </c>
      <c r="E236" s="1479">
        <v>200</v>
      </c>
      <c r="F236" s="2202"/>
      <c r="G236" s="2847">
        <v>1800</v>
      </c>
      <c r="H236" s="2855">
        <v>1182</v>
      </c>
      <c r="I236" s="2887">
        <f t="shared" si="3"/>
        <v>65.66666666666666</v>
      </c>
    </row>
    <row r="237" spans="1:9" ht="16.5" customHeight="1" thickBot="1">
      <c r="A237" s="2095" t="s">
        <v>325</v>
      </c>
      <c r="B237" s="2096"/>
      <c r="C237" s="2097"/>
      <c r="D237" s="2097"/>
      <c r="E237" s="2098"/>
      <c r="F237" s="2099"/>
      <c r="G237" s="2848">
        <f>G21+G58</f>
        <v>124658.99999999999</v>
      </c>
      <c r="H237" s="2848">
        <f>H21+H58</f>
        <v>76139.19999999998</v>
      </c>
      <c r="I237" s="2885">
        <f t="shared" si="3"/>
        <v>61.077980731435346</v>
      </c>
    </row>
    <row r="238" spans="1:7" ht="19.5" customHeight="1">
      <c r="A238" s="1658"/>
      <c r="B238" s="1659"/>
      <c r="C238" s="1659"/>
      <c r="D238" s="2953"/>
      <c r="E238" s="2953"/>
      <c r="F238" s="2953"/>
      <c r="G238" s="2953"/>
    </row>
    <row r="239" spans="1:7" ht="22.5" customHeight="1">
      <c r="A239" s="450"/>
      <c r="B239" s="1660"/>
      <c r="C239" s="1661"/>
      <c r="D239" s="2952"/>
      <c r="E239" s="2952"/>
      <c r="F239" s="2952"/>
      <c r="G239" s="2952"/>
    </row>
    <row r="240" spans="1:7" ht="12.75" hidden="1">
      <c r="A240" s="287" t="s">
        <v>293</v>
      </c>
      <c r="B240" s="288"/>
      <c r="C240" s="289" t="s">
        <v>802</v>
      </c>
      <c r="D240" s="290" t="s">
        <v>429</v>
      </c>
      <c r="E240" s="290">
        <v>755</v>
      </c>
      <c r="F240" s="289" t="s">
        <v>277</v>
      </c>
      <c r="G240" s="280" t="e">
        <f>SUM(#REF!)</f>
        <v>#REF!</v>
      </c>
    </row>
    <row r="241" spans="1:7" ht="12.75" hidden="1">
      <c r="A241" s="198" t="s">
        <v>803</v>
      </c>
      <c r="B241" s="26"/>
      <c r="C241" s="13" t="s">
        <v>802</v>
      </c>
      <c r="D241" s="13" t="s">
        <v>429</v>
      </c>
      <c r="E241" s="13" t="s">
        <v>321</v>
      </c>
      <c r="F241" s="13" t="s">
        <v>322</v>
      </c>
      <c r="G241" s="256" t="e">
        <f>SUM(#REF!)</f>
        <v>#REF!</v>
      </c>
    </row>
    <row r="242" spans="1:7" ht="21" customHeight="1" hidden="1" thickBot="1">
      <c r="A242" s="202" t="s">
        <v>325</v>
      </c>
      <c r="B242" s="200"/>
      <c r="C242" s="201"/>
      <c r="D242" s="201"/>
      <c r="E242" s="201"/>
      <c r="F242" s="201"/>
      <c r="G242" s="256" t="e">
        <f>SUM(#REF!)</f>
        <v>#REF!</v>
      </c>
    </row>
    <row r="243" spans="1:7" ht="12.75" hidden="1">
      <c r="A243" t="s">
        <v>837</v>
      </c>
      <c r="G243" s="256" t="e">
        <f>SUM(#REF!)</f>
        <v>#REF!</v>
      </c>
    </row>
    <row r="244" spans="1:7" ht="12.75" hidden="1">
      <c r="A244" s="27" t="s">
        <v>812</v>
      </c>
      <c r="B244" s="27"/>
      <c r="C244" s="27"/>
      <c r="D244" s="27"/>
      <c r="E244" s="27"/>
      <c r="F244" s="27"/>
      <c r="G244" s="256" t="e">
        <f>SUM(#REF!)</f>
        <v>#REF!</v>
      </c>
    </row>
    <row r="245" spans="1:7" ht="12.75" hidden="1">
      <c r="A245" t="s">
        <v>836</v>
      </c>
      <c r="G245" s="256" t="e">
        <f>SUM(#REF!)</f>
        <v>#REF!</v>
      </c>
    </row>
    <row r="246" spans="1:7" ht="12.75" hidden="1">
      <c r="A246" t="s">
        <v>811</v>
      </c>
      <c r="G246" s="256" t="e">
        <f>SUM(#REF!)</f>
        <v>#REF!</v>
      </c>
    </row>
    <row r="247" spans="1:7" ht="12.75" hidden="1">
      <c r="A247" t="s">
        <v>810</v>
      </c>
      <c r="G247" s="256" t="e">
        <f>SUM(#REF!)</f>
        <v>#REF!</v>
      </c>
    </row>
    <row r="248" ht="12.75" hidden="1">
      <c r="G248" s="256" t="e">
        <f>SUM(#REF!)</f>
        <v>#REF!</v>
      </c>
    </row>
    <row r="249" spans="1:7" ht="12.75" hidden="1">
      <c r="A249" s="151" t="s">
        <v>815</v>
      </c>
      <c r="B249" s="116"/>
      <c r="C249" s="116"/>
      <c r="D249" s="116"/>
      <c r="E249" s="116"/>
      <c r="F249" s="116"/>
      <c r="G249" s="256" t="e">
        <f>SUM(#REF!)</f>
        <v>#REF!</v>
      </c>
    </row>
    <row r="250" spans="1:7" ht="12.75" hidden="1">
      <c r="A250" s="147" t="s">
        <v>813</v>
      </c>
      <c r="B250" s="38"/>
      <c r="C250" s="38"/>
      <c r="D250" s="38" t="e">
        <f>#REF!-#REF!</f>
        <v>#REF!</v>
      </c>
      <c r="E250" s="38"/>
      <c r="F250" s="38"/>
      <c r="G250" s="256" t="e">
        <f>SUM(#REF!)</f>
        <v>#REF!</v>
      </c>
    </row>
    <row r="251" spans="1:7" ht="13.5" hidden="1" thickBot="1">
      <c r="A251" s="148" t="s">
        <v>809</v>
      </c>
      <c r="B251" s="149"/>
      <c r="C251" s="149"/>
      <c r="D251" s="38" t="e">
        <f>#REF!-#REF!</f>
        <v>#REF!</v>
      </c>
      <c r="E251" s="149"/>
      <c r="F251" s="149"/>
      <c r="G251" s="256" t="e">
        <f>SUM(#REF!)</f>
        <v>#REF!</v>
      </c>
    </row>
    <row r="252" spans="1:7" ht="12.75" hidden="1">
      <c r="A252" s="151" t="s">
        <v>814</v>
      </c>
      <c r="B252" s="116"/>
      <c r="C252" s="116"/>
      <c r="D252" s="116"/>
      <c r="E252" s="116"/>
      <c r="F252" s="116"/>
      <c r="G252" s="256" t="e">
        <f>SUM(#REF!)</f>
        <v>#REF!</v>
      </c>
    </row>
    <row r="253" spans="1:7" ht="12.75" hidden="1">
      <c r="A253" s="147" t="s">
        <v>813</v>
      </c>
      <c r="B253" s="38"/>
      <c r="C253" s="38"/>
      <c r="D253" s="145" t="e">
        <f>#REF!-#REF!</f>
        <v>#REF!</v>
      </c>
      <c r="E253" s="38"/>
      <c r="F253" s="38"/>
      <c r="G253" s="256" t="e">
        <f>SUM(#REF!)</f>
        <v>#REF!</v>
      </c>
    </row>
    <row r="254" spans="1:7" ht="13.5" hidden="1" thickBot="1">
      <c r="A254" s="148" t="s">
        <v>809</v>
      </c>
      <c r="B254" s="149"/>
      <c r="C254" s="149"/>
      <c r="D254" s="150" t="e">
        <f>#REF!-#REF!</f>
        <v>#REF!</v>
      </c>
      <c r="E254" s="149"/>
      <c r="F254" s="149"/>
      <c r="G254" s="256" t="e">
        <f>SUM(#REF!)</f>
        <v>#REF!</v>
      </c>
    </row>
    <row r="255" ht="12.75" hidden="1">
      <c r="G255" s="256" t="e">
        <f>SUM(#REF!)</f>
        <v>#REF!</v>
      </c>
    </row>
    <row r="256" spans="1:7" ht="12.75" hidden="1">
      <c r="A256" t="s">
        <v>342</v>
      </c>
      <c r="G256" s="256" t="e">
        <f>SUM(#REF!)</f>
        <v>#REF!</v>
      </c>
    </row>
    <row r="257" spans="1:7" ht="12.75" hidden="1">
      <c r="A257" t="s">
        <v>343</v>
      </c>
      <c r="G257" s="256" t="e">
        <f>SUM(#REF!)</f>
        <v>#REF!</v>
      </c>
    </row>
    <row r="258" spans="1:7" ht="12.75" hidden="1">
      <c r="A258" t="s">
        <v>344</v>
      </c>
      <c r="G258" s="335" t="e">
        <f>SUM(#REF!)</f>
        <v>#REF!</v>
      </c>
    </row>
    <row r="259" spans="1:7" ht="12.75">
      <c r="A259" s="38"/>
      <c r="B259" s="38"/>
      <c r="C259" s="38"/>
      <c r="D259" s="38"/>
      <c r="E259" s="38"/>
      <c r="F259" s="38"/>
      <c r="G259" s="333"/>
    </row>
  </sheetData>
  <sheetProtection/>
  <mergeCells count="11">
    <mergeCell ref="A8:D8"/>
    <mergeCell ref="A1:G1"/>
    <mergeCell ref="A5:G5"/>
    <mergeCell ref="A2:G2"/>
    <mergeCell ref="A3:G3"/>
    <mergeCell ref="D239:G239"/>
    <mergeCell ref="A7:G7"/>
    <mergeCell ref="D238:G238"/>
    <mergeCell ref="A6:G6"/>
    <mergeCell ref="A4:G4"/>
    <mergeCell ref="E8:G8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C131" sqref="C131"/>
    </sheetView>
  </sheetViews>
  <sheetFormatPr defaultColWidth="9.00390625" defaultRowHeight="12.75"/>
  <cols>
    <col min="1" max="1" width="24.25390625" style="0" customWidth="1"/>
    <col min="2" max="2" width="55.75390625" style="0" customWidth="1"/>
    <col min="3" max="3" width="11.00390625" style="0" customWidth="1"/>
    <col min="4" max="4" width="8.00390625" style="0" hidden="1" customWidth="1"/>
    <col min="5" max="5" width="7.25390625" style="0" hidden="1" customWidth="1"/>
    <col min="6" max="6" width="8.125" style="0" hidden="1" customWidth="1"/>
    <col min="7" max="7" width="7.75390625" style="0" hidden="1" customWidth="1"/>
  </cols>
  <sheetData>
    <row r="1" spans="1:9" ht="15.75">
      <c r="A1" s="2956" t="s">
        <v>1403</v>
      </c>
      <c r="B1" s="2956"/>
      <c r="C1" s="2956"/>
      <c r="D1" s="2956"/>
      <c r="E1" s="2956"/>
      <c r="F1" s="2956"/>
      <c r="G1" s="2956"/>
      <c r="H1" s="2956"/>
      <c r="I1" s="2956"/>
    </row>
    <row r="2" spans="1:9" ht="15.75">
      <c r="A2" s="2956" t="s">
        <v>1412</v>
      </c>
      <c r="B2" s="2956"/>
      <c r="C2" s="2956"/>
      <c r="D2" s="2956"/>
      <c r="E2" s="2956"/>
      <c r="F2" s="2956"/>
      <c r="G2" s="2956"/>
      <c r="H2" s="2956"/>
      <c r="I2" s="2956"/>
    </row>
    <row r="3" spans="1:9" ht="15.75">
      <c r="A3" s="2956" t="s">
        <v>1413</v>
      </c>
      <c r="B3" s="2956"/>
      <c r="C3" s="2956"/>
      <c r="D3" s="2956"/>
      <c r="E3" s="2956"/>
      <c r="F3" s="2956"/>
      <c r="G3" s="2956"/>
      <c r="H3" s="2956"/>
      <c r="I3" s="2956"/>
    </row>
    <row r="4" spans="1:9" ht="15.75">
      <c r="A4" s="2956" t="s">
        <v>1429</v>
      </c>
      <c r="B4" s="2956"/>
      <c r="C4" s="2956"/>
      <c r="D4" s="2956"/>
      <c r="E4" s="2956"/>
      <c r="F4" s="2956"/>
      <c r="G4" s="2956"/>
      <c r="H4" s="2956"/>
      <c r="I4" s="2956"/>
    </row>
    <row r="5" spans="1:3" ht="13.5" thickBot="1">
      <c r="A5" s="2957"/>
      <c r="B5" s="2957"/>
      <c r="C5" s="2957"/>
    </row>
    <row r="6" spans="1:9" ht="39" thickBot="1">
      <c r="A6" s="2682" t="s">
        <v>302</v>
      </c>
      <c r="B6" s="2684" t="s">
        <v>806</v>
      </c>
      <c r="C6" s="2888" t="s">
        <v>1410</v>
      </c>
      <c r="D6" s="2889" t="s">
        <v>807</v>
      </c>
      <c r="E6" s="2888" t="s">
        <v>808</v>
      </c>
      <c r="F6" s="2888" t="s">
        <v>793</v>
      </c>
      <c r="G6" s="2890" t="s">
        <v>794</v>
      </c>
      <c r="H6" s="2891" t="s">
        <v>1406</v>
      </c>
      <c r="I6" s="2891" t="s">
        <v>1407</v>
      </c>
    </row>
    <row r="7" spans="1:7" ht="36.75" hidden="1" thickBot="1">
      <c r="A7" s="2683" t="s">
        <v>795</v>
      </c>
      <c r="B7" s="2685" t="s">
        <v>796</v>
      </c>
      <c r="C7" s="2688"/>
      <c r="D7" s="352"/>
      <c r="E7" s="348"/>
      <c r="F7" s="348"/>
      <c r="G7" s="349"/>
    </row>
    <row r="8" spans="1:7" ht="48.75" hidden="1" thickBot="1">
      <c r="A8" s="2681" t="s">
        <v>797</v>
      </c>
      <c r="B8" s="2685" t="s">
        <v>760</v>
      </c>
      <c r="C8" s="2688"/>
      <c r="D8" s="353"/>
      <c r="E8" s="338"/>
      <c r="F8" s="338"/>
      <c r="G8" s="342"/>
    </row>
    <row r="9" spans="1:7" ht="24.75" hidden="1" thickBot="1">
      <c r="A9" s="2681" t="s">
        <v>761</v>
      </c>
      <c r="B9" s="2686" t="s">
        <v>762</v>
      </c>
      <c r="C9" s="2688"/>
      <c r="D9" s="353"/>
      <c r="E9" s="338"/>
      <c r="F9" s="338"/>
      <c r="G9" s="342"/>
    </row>
    <row r="10" spans="1:7" ht="24.75" hidden="1" thickBot="1">
      <c r="A10" s="2681" t="s">
        <v>763</v>
      </c>
      <c r="B10" s="2686" t="s">
        <v>764</v>
      </c>
      <c r="C10" s="2688"/>
      <c r="D10" s="353"/>
      <c r="E10" s="338"/>
      <c r="F10" s="338"/>
      <c r="G10" s="342"/>
    </row>
    <row r="11" spans="1:7" ht="16.5" hidden="1" thickBot="1">
      <c r="A11" s="2681" t="s">
        <v>765</v>
      </c>
      <c r="B11" s="2686" t="s">
        <v>766</v>
      </c>
      <c r="C11" s="2688"/>
      <c r="D11" s="353"/>
      <c r="E11" s="338"/>
      <c r="F11" s="338"/>
      <c r="G11" s="342"/>
    </row>
    <row r="12" spans="1:7" ht="48.75" hidden="1" thickBot="1">
      <c r="A12" s="2681" t="s">
        <v>767</v>
      </c>
      <c r="B12" s="2685" t="s">
        <v>768</v>
      </c>
      <c r="C12" s="2688"/>
      <c r="D12" s="353"/>
      <c r="E12" s="338"/>
      <c r="F12" s="338"/>
      <c r="G12" s="342"/>
    </row>
    <row r="13" spans="1:7" ht="24.75" hidden="1" thickBot="1">
      <c r="A13" s="2681" t="s">
        <v>769</v>
      </c>
      <c r="B13" s="2686" t="s">
        <v>770</v>
      </c>
      <c r="C13" s="2688"/>
      <c r="D13" s="353"/>
      <c r="E13" s="338"/>
      <c r="F13" s="338"/>
      <c r="G13" s="342"/>
    </row>
    <row r="14" spans="1:7" ht="24.75" hidden="1" thickBot="1">
      <c r="A14" s="2681" t="s">
        <v>771</v>
      </c>
      <c r="B14" s="2686" t="s">
        <v>764</v>
      </c>
      <c r="C14" s="2688"/>
      <c r="D14" s="353"/>
      <c r="E14" s="338"/>
      <c r="F14" s="338"/>
      <c r="G14" s="342"/>
    </row>
    <row r="15" spans="1:7" ht="16.5" hidden="1" thickBot="1">
      <c r="A15" s="2681" t="s">
        <v>772</v>
      </c>
      <c r="B15" s="2686" t="s">
        <v>766</v>
      </c>
      <c r="C15" s="2688"/>
      <c r="D15" s="353"/>
      <c r="E15" s="338"/>
      <c r="F15" s="338"/>
      <c r="G15" s="342"/>
    </row>
    <row r="16" spans="1:7" ht="48.75" hidden="1" thickBot="1">
      <c r="A16" s="2683" t="s">
        <v>773</v>
      </c>
      <c r="B16" s="2685" t="s">
        <v>774</v>
      </c>
      <c r="C16" s="2688"/>
      <c r="D16" s="353"/>
      <c r="E16" s="338"/>
      <c r="F16" s="338"/>
      <c r="G16" s="342"/>
    </row>
    <row r="17" spans="1:7" ht="60.75" hidden="1" thickBot="1">
      <c r="A17" s="2681" t="s">
        <v>775</v>
      </c>
      <c r="B17" s="2685" t="s">
        <v>481</v>
      </c>
      <c r="C17" s="2688">
        <v>1297</v>
      </c>
      <c r="D17" s="353"/>
      <c r="E17" s="338"/>
      <c r="F17" s="338"/>
      <c r="G17" s="342"/>
    </row>
    <row r="18" spans="1:7" ht="24.75" hidden="1" thickBot="1">
      <c r="A18" s="2681" t="s">
        <v>482</v>
      </c>
      <c r="B18" s="2686" t="s">
        <v>483</v>
      </c>
      <c r="C18" s="2689">
        <v>1297</v>
      </c>
      <c r="D18" s="354"/>
      <c r="E18" s="339"/>
      <c r="F18" s="339"/>
      <c r="G18" s="343"/>
    </row>
    <row r="19" spans="1:7" ht="24.75" hidden="1" thickBot="1">
      <c r="A19" s="2681" t="s">
        <v>484</v>
      </c>
      <c r="B19" s="2686" t="s">
        <v>485</v>
      </c>
      <c r="C19" s="2690">
        <v>8327</v>
      </c>
      <c r="D19" s="355"/>
      <c r="E19" s="340"/>
      <c r="F19" s="340"/>
      <c r="G19" s="344"/>
    </row>
    <row r="20" spans="1:7" ht="36.75" hidden="1" thickBot="1">
      <c r="A20" s="2681" t="s">
        <v>486</v>
      </c>
      <c r="B20" s="2686" t="s">
        <v>487</v>
      </c>
      <c r="C20" s="2689">
        <v>8327</v>
      </c>
      <c r="D20" s="354"/>
      <c r="E20" s="339"/>
      <c r="F20" s="339"/>
      <c r="G20" s="343"/>
    </row>
    <row r="21" spans="1:7" ht="24.75" hidden="1" thickBot="1">
      <c r="A21" s="2681" t="s">
        <v>493</v>
      </c>
      <c r="B21" s="2686" t="s">
        <v>494</v>
      </c>
      <c r="C21" s="2690">
        <v>7030</v>
      </c>
      <c r="D21" s="355"/>
      <c r="E21" s="340"/>
      <c r="F21" s="340"/>
      <c r="G21" s="344"/>
    </row>
    <row r="22" spans="1:7" ht="36.75" hidden="1" thickBot="1">
      <c r="A22" s="2681" t="s">
        <v>495</v>
      </c>
      <c r="B22" s="2686" t="s">
        <v>743</v>
      </c>
      <c r="C22" s="2689">
        <v>7030</v>
      </c>
      <c r="D22" s="354"/>
      <c r="E22" s="339"/>
      <c r="F22" s="339"/>
      <c r="G22" s="343"/>
    </row>
    <row r="23" spans="1:7" ht="36.75" hidden="1" thickBot="1">
      <c r="A23" s="2681" t="s">
        <v>744</v>
      </c>
      <c r="B23" s="2686" t="s">
        <v>501</v>
      </c>
      <c r="C23" s="2691">
        <v>1297</v>
      </c>
      <c r="D23" s="356"/>
      <c r="E23" s="341"/>
      <c r="F23" s="341"/>
      <c r="G23" s="345"/>
    </row>
    <row r="24" spans="1:7" ht="36.75" hidden="1" thickBot="1">
      <c r="A24" s="2681" t="s">
        <v>502</v>
      </c>
      <c r="B24" s="2686" t="s">
        <v>503</v>
      </c>
      <c r="C24" s="2692"/>
      <c r="D24" s="357"/>
      <c r="E24" s="120"/>
      <c r="F24" s="120"/>
      <c r="G24" s="346"/>
    </row>
    <row r="25" spans="1:7" ht="36.75" hidden="1" thickBot="1">
      <c r="A25" s="2681" t="s">
        <v>504</v>
      </c>
      <c r="B25" s="2686" t="s">
        <v>505</v>
      </c>
      <c r="C25" s="2692"/>
      <c r="D25" s="357"/>
      <c r="E25" s="120"/>
      <c r="F25" s="120"/>
      <c r="G25" s="346"/>
    </row>
    <row r="26" spans="1:7" ht="24.75" hidden="1" thickBot="1">
      <c r="A26" s="2681" t="s">
        <v>506</v>
      </c>
      <c r="B26" s="2686" t="s">
        <v>507</v>
      </c>
      <c r="C26" s="2692"/>
      <c r="D26" s="357"/>
      <c r="E26" s="120"/>
      <c r="F26" s="120"/>
      <c r="G26" s="346"/>
    </row>
    <row r="27" spans="1:7" ht="24.75" hidden="1" thickBot="1">
      <c r="A27" s="2681" t="s">
        <v>508</v>
      </c>
      <c r="B27" s="2686" t="s">
        <v>509</v>
      </c>
      <c r="C27" s="2692"/>
      <c r="D27" s="357"/>
      <c r="E27" s="120"/>
      <c r="F27" s="120"/>
      <c r="G27" s="346"/>
    </row>
    <row r="28" spans="1:7" ht="24.75" hidden="1" thickBot="1">
      <c r="A28" s="2681" t="s">
        <v>510</v>
      </c>
      <c r="B28" s="2686" t="s">
        <v>511</v>
      </c>
      <c r="C28" s="2692"/>
      <c r="D28" s="357"/>
      <c r="E28" s="120"/>
      <c r="F28" s="120"/>
      <c r="G28" s="346"/>
    </row>
    <row r="29" spans="1:7" ht="24.75" hidden="1" thickBot="1">
      <c r="A29" s="2681" t="s">
        <v>512</v>
      </c>
      <c r="B29" s="2686" t="s">
        <v>514</v>
      </c>
      <c r="C29" s="2692"/>
      <c r="D29" s="357"/>
      <c r="E29" s="120"/>
      <c r="F29" s="120"/>
      <c r="G29" s="346"/>
    </row>
    <row r="30" spans="1:7" ht="24.75" hidden="1" thickBot="1">
      <c r="A30" s="2681" t="s">
        <v>515</v>
      </c>
      <c r="B30" s="2686" t="s">
        <v>516</v>
      </c>
      <c r="C30" s="2692"/>
      <c r="D30" s="357"/>
      <c r="E30" s="120"/>
      <c r="F30" s="120"/>
      <c r="G30" s="346"/>
    </row>
    <row r="31" spans="1:7" ht="36.75" hidden="1" thickBot="1">
      <c r="A31" s="2681" t="s">
        <v>517</v>
      </c>
      <c r="B31" s="2686" t="s">
        <v>758</v>
      </c>
      <c r="C31" s="2692"/>
      <c r="D31" s="357"/>
      <c r="E31" s="120"/>
      <c r="F31" s="120"/>
      <c r="G31" s="346"/>
    </row>
    <row r="32" spans="1:7" ht="36.75" hidden="1" thickBot="1">
      <c r="A32" s="2681" t="s">
        <v>759</v>
      </c>
      <c r="B32" s="2686" t="s">
        <v>869</v>
      </c>
      <c r="C32" s="2692"/>
      <c r="D32" s="357"/>
      <c r="E32" s="120"/>
      <c r="F32" s="120"/>
      <c r="G32" s="346"/>
    </row>
    <row r="33" spans="1:7" ht="36.75" hidden="1" thickBot="1">
      <c r="A33" s="2681" t="s">
        <v>870</v>
      </c>
      <c r="B33" s="2686" t="s">
        <v>871</v>
      </c>
      <c r="C33" s="2692"/>
      <c r="D33" s="357"/>
      <c r="E33" s="120"/>
      <c r="F33" s="120"/>
      <c r="G33" s="346"/>
    </row>
    <row r="34" spans="1:7" ht="60.75" hidden="1" thickBot="1">
      <c r="A34" s="2681" t="s">
        <v>872</v>
      </c>
      <c r="B34" s="2685" t="s">
        <v>873</v>
      </c>
      <c r="C34" s="2692"/>
      <c r="D34" s="357"/>
      <c r="E34" s="120"/>
      <c r="F34" s="120"/>
      <c r="G34" s="346"/>
    </row>
    <row r="35" spans="1:7" ht="24.75" hidden="1" thickBot="1">
      <c r="A35" s="2681" t="s">
        <v>874</v>
      </c>
      <c r="B35" s="2686" t="s">
        <v>483</v>
      </c>
      <c r="C35" s="2692"/>
      <c r="D35" s="357"/>
      <c r="E35" s="120"/>
      <c r="F35" s="120"/>
      <c r="G35" s="346"/>
    </row>
    <row r="36" spans="1:7" ht="24.75" hidden="1" thickBot="1">
      <c r="A36" s="2681" t="s">
        <v>875</v>
      </c>
      <c r="B36" s="2686" t="s">
        <v>485</v>
      </c>
      <c r="C36" s="2692"/>
      <c r="D36" s="357"/>
      <c r="E36" s="120"/>
      <c r="F36" s="120"/>
      <c r="G36" s="346"/>
    </row>
    <row r="37" spans="1:7" ht="36.75" hidden="1" thickBot="1">
      <c r="A37" s="2681" t="s">
        <v>876</v>
      </c>
      <c r="B37" s="2686" t="s">
        <v>487</v>
      </c>
      <c r="C37" s="2692"/>
      <c r="D37" s="357"/>
      <c r="E37" s="120"/>
      <c r="F37" s="120"/>
      <c r="G37" s="346"/>
    </row>
    <row r="38" spans="1:7" ht="24.75" hidden="1" thickBot="1">
      <c r="A38" s="2681" t="s">
        <v>877</v>
      </c>
      <c r="B38" s="2686" t="s">
        <v>494</v>
      </c>
      <c r="C38" s="2692"/>
      <c r="D38" s="357"/>
      <c r="E38" s="120"/>
      <c r="F38" s="120"/>
      <c r="G38" s="346"/>
    </row>
    <row r="39" spans="1:7" ht="36.75" hidden="1" thickBot="1">
      <c r="A39" s="2681" t="s">
        <v>878</v>
      </c>
      <c r="B39" s="2686" t="s">
        <v>743</v>
      </c>
      <c r="C39" s="2692"/>
      <c r="D39" s="357"/>
      <c r="E39" s="120"/>
      <c r="F39" s="120"/>
      <c r="G39" s="346"/>
    </row>
    <row r="40" spans="1:7" ht="36.75" hidden="1" thickBot="1">
      <c r="A40" s="2681" t="s">
        <v>879</v>
      </c>
      <c r="B40" s="2686" t="s">
        <v>501</v>
      </c>
      <c r="C40" s="2692"/>
      <c r="D40" s="357"/>
      <c r="E40" s="120"/>
      <c r="F40" s="120"/>
      <c r="G40" s="346"/>
    </row>
    <row r="41" spans="1:7" ht="36.75" hidden="1" thickBot="1">
      <c r="A41" s="2681" t="s">
        <v>880</v>
      </c>
      <c r="B41" s="2686" t="s">
        <v>503</v>
      </c>
      <c r="C41" s="2692"/>
      <c r="D41" s="357"/>
      <c r="E41" s="120"/>
      <c r="F41" s="120"/>
      <c r="G41" s="346"/>
    </row>
    <row r="42" spans="1:7" ht="36.75" hidden="1" thickBot="1">
      <c r="A42" s="2681" t="s">
        <v>881</v>
      </c>
      <c r="B42" s="2686" t="s">
        <v>505</v>
      </c>
      <c r="C42" s="2692"/>
      <c r="D42" s="357"/>
      <c r="E42" s="120"/>
      <c r="F42" s="120"/>
      <c r="G42" s="346"/>
    </row>
    <row r="43" spans="1:7" ht="24.75" hidden="1" thickBot="1">
      <c r="A43" s="2681" t="s">
        <v>882</v>
      </c>
      <c r="B43" s="2686" t="s">
        <v>507</v>
      </c>
      <c r="C43" s="2692"/>
      <c r="D43" s="357"/>
      <c r="E43" s="120"/>
      <c r="F43" s="120"/>
      <c r="G43" s="346"/>
    </row>
    <row r="44" spans="1:7" ht="24.75" hidden="1" thickBot="1">
      <c r="A44" s="2681" t="s">
        <v>859</v>
      </c>
      <c r="B44" s="2686" t="s">
        <v>509</v>
      </c>
      <c r="C44" s="2692"/>
      <c r="D44" s="357"/>
      <c r="E44" s="120"/>
      <c r="F44" s="120"/>
      <c r="G44" s="346"/>
    </row>
    <row r="45" spans="1:7" ht="24.75" hidden="1" thickBot="1">
      <c r="A45" s="2681" t="s">
        <v>860</v>
      </c>
      <c r="B45" s="2686" t="s">
        <v>511</v>
      </c>
      <c r="C45" s="2692"/>
      <c r="D45" s="357"/>
      <c r="E45" s="120"/>
      <c r="F45" s="120"/>
      <c r="G45" s="346"/>
    </row>
    <row r="46" spans="1:7" ht="24.75" hidden="1" thickBot="1">
      <c r="A46" s="2681" t="s">
        <v>861</v>
      </c>
      <c r="B46" s="2686" t="s">
        <v>514</v>
      </c>
      <c r="C46" s="2692"/>
      <c r="D46" s="357"/>
      <c r="E46" s="120"/>
      <c r="F46" s="120"/>
      <c r="G46" s="346"/>
    </row>
    <row r="47" spans="1:7" ht="24.75" hidden="1" thickBot="1">
      <c r="A47" s="2681" t="s">
        <v>862</v>
      </c>
      <c r="B47" s="2686" t="s">
        <v>516</v>
      </c>
      <c r="C47" s="2692"/>
      <c r="D47" s="357"/>
      <c r="E47" s="120"/>
      <c r="F47" s="120"/>
      <c r="G47" s="346"/>
    </row>
    <row r="48" spans="1:7" ht="36.75" hidden="1" thickBot="1">
      <c r="A48" s="2681" t="s">
        <v>863</v>
      </c>
      <c r="B48" s="2686" t="s">
        <v>758</v>
      </c>
      <c r="C48" s="2692"/>
      <c r="D48" s="357"/>
      <c r="E48" s="120"/>
      <c r="F48" s="120"/>
      <c r="G48" s="346"/>
    </row>
    <row r="49" spans="1:7" ht="36.75" hidden="1" thickBot="1">
      <c r="A49" s="2681" t="s">
        <v>864</v>
      </c>
      <c r="B49" s="2686" t="s">
        <v>831</v>
      </c>
      <c r="C49" s="2692"/>
      <c r="D49" s="357"/>
      <c r="E49" s="120"/>
      <c r="F49" s="120"/>
      <c r="G49" s="346"/>
    </row>
    <row r="50" spans="1:7" ht="36.75" hidden="1" thickBot="1">
      <c r="A50" s="2681" t="s">
        <v>832</v>
      </c>
      <c r="B50" s="2686" t="s">
        <v>871</v>
      </c>
      <c r="C50" s="2692"/>
      <c r="D50" s="357"/>
      <c r="E50" s="120"/>
      <c r="F50" s="120"/>
      <c r="G50" s="346"/>
    </row>
    <row r="51" spans="1:7" ht="24.75" hidden="1" thickBot="1">
      <c r="A51" s="2683" t="s">
        <v>833</v>
      </c>
      <c r="B51" s="2685" t="s">
        <v>834</v>
      </c>
      <c r="C51" s="2692"/>
      <c r="D51" s="357"/>
      <c r="E51" s="120"/>
      <c r="F51" s="120"/>
      <c r="G51" s="346"/>
    </row>
    <row r="52" spans="1:7" ht="24.75" hidden="1" thickBot="1">
      <c r="A52" s="2681" t="s">
        <v>835</v>
      </c>
      <c r="B52" s="2685" t="s">
        <v>838</v>
      </c>
      <c r="C52" s="2692"/>
      <c r="D52" s="357"/>
      <c r="E52" s="120"/>
      <c r="F52" s="120"/>
      <c r="G52" s="346"/>
    </row>
    <row r="53" spans="1:7" ht="24.75" hidden="1" thickBot="1">
      <c r="A53" s="2681" t="s">
        <v>839</v>
      </c>
      <c r="B53" s="2686" t="s">
        <v>840</v>
      </c>
      <c r="C53" s="2692"/>
      <c r="D53" s="357"/>
      <c r="E53" s="120"/>
      <c r="F53" s="120"/>
      <c r="G53" s="346"/>
    </row>
    <row r="54" spans="1:7" ht="24.75" hidden="1" thickBot="1">
      <c r="A54" s="2681" t="s">
        <v>841</v>
      </c>
      <c r="B54" s="2686" t="s">
        <v>842</v>
      </c>
      <c r="C54" s="2692"/>
      <c r="D54" s="357"/>
      <c r="E54" s="120"/>
      <c r="F54" s="120"/>
      <c r="G54" s="346"/>
    </row>
    <row r="55" spans="1:7" ht="24.75" hidden="1" thickBot="1">
      <c r="A55" s="2681" t="s">
        <v>843</v>
      </c>
      <c r="B55" s="2686" t="s">
        <v>573</v>
      </c>
      <c r="C55" s="2692"/>
      <c r="D55" s="357"/>
      <c r="E55" s="120"/>
      <c r="F55" s="120"/>
      <c r="G55" s="346"/>
    </row>
    <row r="56" spans="1:7" ht="24.75" hidden="1" thickBot="1">
      <c r="A56" s="2681" t="s">
        <v>574</v>
      </c>
      <c r="B56" s="2686" t="s">
        <v>575</v>
      </c>
      <c r="C56" s="2692"/>
      <c r="D56" s="357"/>
      <c r="E56" s="120"/>
      <c r="F56" s="120"/>
      <c r="G56" s="346"/>
    </row>
    <row r="57" spans="1:7" ht="24.75" hidden="1" thickBot="1">
      <c r="A57" s="2681" t="s">
        <v>576</v>
      </c>
      <c r="B57" s="2686" t="s">
        <v>577</v>
      </c>
      <c r="C57" s="2692"/>
      <c r="D57" s="357"/>
      <c r="E57" s="120"/>
      <c r="F57" s="120"/>
      <c r="G57" s="346"/>
    </row>
    <row r="58" spans="1:7" ht="24.75" hidden="1" thickBot="1">
      <c r="A58" s="2681" t="s">
        <v>578</v>
      </c>
      <c r="B58" s="2686" t="s">
        <v>16</v>
      </c>
      <c r="C58" s="2692"/>
      <c r="D58" s="357"/>
      <c r="E58" s="120"/>
      <c r="F58" s="120"/>
      <c r="G58" s="346"/>
    </row>
    <row r="59" spans="1:7" ht="24.75" hidden="1" thickBot="1">
      <c r="A59" s="2681" t="s">
        <v>17</v>
      </c>
      <c r="B59" s="2686" t="s">
        <v>18</v>
      </c>
      <c r="C59" s="2692"/>
      <c r="D59" s="357"/>
      <c r="E59" s="120"/>
      <c r="F59" s="120"/>
      <c r="G59" s="346"/>
    </row>
    <row r="60" spans="1:7" ht="24.75" hidden="1" thickBot="1">
      <c r="A60" s="2681" t="s">
        <v>19</v>
      </c>
      <c r="B60" s="2685" t="s">
        <v>20</v>
      </c>
      <c r="C60" s="2692"/>
      <c r="D60" s="357"/>
      <c r="E60" s="120"/>
      <c r="F60" s="120"/>
      <c r="G60" s="346"/>
    </row>
    <row r="61" spans="1:7" ht="24.75" hidden="1" thickBot="1">
      <c r="A61" s="2681" t="s">
        <v>21</v>
      </c>
      <c r="B61" s="2686" t="s">
        <v>840</v>
      </c>
      <c r="C61" s="2692"/>
      <c r="D61" s="357"/>
      <c r="E61" s="120"/>
      <c r="F61" s="120"/>
      <c r="G61" s="346"/>
    </row>
    <row r="62" spans="1:7" ht="13.5" hidden="1" thickBot="1">
      <c r="A62" s="2681" t="s">
        <v>22</v>
      </c>
      <c r="B62" s="2687" t="s">
        <v>844</v>
      </c>
      <c r="C62" s="2692"/>
      <c r="D62" s="357"/>
      <c r="E62" s="120"/>
      <c r="F62" s="120"/>
      <c r="G62" s="346"/>
    </row>
    <row r="63" spans="1:7" ht="36.75" hidden="1" thickBot="1">
      <c r="A63" s="2681" t="s">
        <v>845</v>
      </c>
      <c r="B63" s="2687" t="s">
        <v>846</v>
      </c>
      <c r="C63" s="2692"/>
      <c r="D63" s="357"/>
      <c r="E63" s="120"/>
      <c r="F63" s="120"/>
      <c r="G63" s="346"/>
    </row>
    <row r="64" spans="1:7" ht="24.75" hidden="1" thickBot="1">
      <c r="A64" s="2681" t="s">
        <v>847</v>
      </c>
      <c r="B64" s="2686" t="s">
        <v>842</v>
      </c>
      <c r="C64" s="2692"/>
      <c r="D64" s="357"/>
      <c r="E64" s="120"/>
      <c r="F64" s="120"/>
      <c r="G64" s="346"/>
    </row>
    <row r="65" spans="1:7" ht="24.75" hidden="1" thickBot="1">
      <c r="A65" s="2681" t="s">
        <v>848</v>
      </c>
      <c r="B65" s="2686" t="s">
        <v>573</v>
      </c>
      <c r="C65" s="2692"/>
      <c r="D65" s="357"/>
      <c r="E65" s="120"/>
      <c r="F65" s="120"/>
      <c r="G65" s="346"/>
    </row>
    <row r="66" spans="1:7" ht="24.75" hidden="1" thickBot="1">
      <c r="A66" s="2681" t="s">
        <v>620</v>
      </c>
      <c r="B66" s="2686" t="s">
        <v>575</v>
      </c>
      <c r="C66" s="2692"/>
      <c r="D66" s="357"/>
      <c r="E66" s="120"/>
      <c r="F66" s="120"/>
      <c r="G66" s="346"/>
    </row>
    <row r="67" spans="1:7" ht="24.75" hidden="1" thickBot="1">
      <c r="A67" s="2681" t="s">
        <v>621</v>
      </c>
      <c r="B67" s="2686" t="s">
        <v>577</v>
      </c>
      <c r="C67" s="2692"/>
      <c r="D67" s="357"/>
      <c r="E67" s="120"/>
      <c r="F67" s="120"/>
      <c r="G67" s="346"/>
    </row>
    <row r="68" spans="1:7" ht="24.75" hidden="1" thickBot="1">
      <c r="A68" s="2681" t="s">
        <v>622</v>
      </c>
      <c r="B68" s="2686" t="s">
        <v>623</v>
      </c>
      <c r="C68" s="2692"/>
      <c r="D68" s="357"/>
      <c r="E68" s="120"/>
      <c r="F68" s="120"/>
      <c r="G68" s="346"/>
    </row>
    <row r="69" spans="1:7" ht="24.75" hidden="1" thickBot="1">
      <c r="A69" s="2681" t="s">
        <v>624</v>
      </c>
      <c r="B69" s="2686" t="s">
        <v>625</v>
      </c>
      <c r="C69" s="2692"/>
      <c r="D69" s="357"/>
      <c r="E69" s="120"/>
      <c r="F69" s="120"/>
      <c r="G69" s="346"/>
    </row>
    <row r="70" spans="1:7" ht="24.75" hidden="1" thickBot="1">
      <c r="A70" s="2683" t="s">
        <v>626</v>
      </c>
      <c r="B70" s="2685" t="s">
        <v>627</v>
      </c>
      <c r="C70" s="2692"/>
      <c r="D70" s="357"/>
      <c r="E70" s="120"/>
      <c r="F70" s="120"/>
      <c r="G70" s="346"/>
    </row>
    <row r="71" spans="1:7" ht="48.75" hidden="1" thickBot="1">
      <c r="A71" s="2681" t="s">
        <v>628</v>
      </c>
      <c r="B71" s="2685" t="s">
        <v>629</v>
      </c>
      <c r="C71" s="2692"/>
      <c r="D71" s="357"/>
      <c r="E71" s="120"/>
      <c r="F71" s="120"/>
      <c r="G71" s="346"/>
    </row>
    <row r="72" spans="1:7" ht="24.75" hidden="1" thickBot="1">
      <c r="A72" s="2681" t="s">
        <v>630</v>
      </c>
      <c r="B72" s="2686" t="s">
        <v>40</v>
      </c>
      <c r="C72" s="2692"/>
      <c r="D72" s="357"/>
      <c r="E72" s="120"/>
      <c r="F72" s="120"/>
      <c r="G72" s="346"/>
    </row>
    <row r="73" spans="1:7" ht="24.75" hidden="1" thickBot="1">
      <c r="A73" s="2681" t="s">
        <v>41</v>
      </c>
      <c r="B73" s="2686" t="s">
        <v>42</v>
      </c>
      <c r="C73" s="2692"/>
      <c r="D73" s="357"/>
      <c r="E73" s="120"/>
      <c r="F73" s="120"/>
      <c r="G73" s="346"/>
    </row>
    <row r="74" spans="1:7" ht="13.5" hidden="1" thickBot="1">
      <c r="A74" s="2681" t="s">
        <v>43</v>
      </c>
      <c r="B74" s="2686" t="s">
        <v>44</v>
      </c>
      <c r="C74" s="2692"/>
      <c r="D74" s="357"/>
      <c r="E74" s="120"/>
      <c r="F74" s="120"/>
      <c r="G74" s="346"/>
    </row>
    <row r="75" spans="1:7" ht="24.75" hidden="1" thickBot="1">
      <c r="A75" s="2683" t="s">
        <v>45</v>
      </c>
      <c r="B75" s="2685" t="s">
        <v>46</v>
      </c>
      <c r="C75" s="2692"/>
      <c r="D75" s="357"/>
      <c r="E75" s="120"/>
      <c r="F75" s="120"/>
      <c r="G75" s="346"/>
    </row>
    <row r="76" spans="1:7" ht="36.75" hidden="1" thickBot="1">
      <c r="A76" s="2681" t="s">
        <v>47</v>
      </c>
      <c r="B76" s="2685" t="s">
        <v>48</v>
      </c>
      <c r="C76" s="2692"/>
      <c r="D76" s="357"/>
      <c r="E76" s="120"/>
      <c r="F76" s="120"/>
      <c r="G76" s="346"/>
    </row>
    <row r="77" spans="1:7" ht="24.75" hidden="1" thickBot="1">
      <c r="A77" s="2681" t="s">
        <v>49</v>
      </c>
      <c r="B77" s="2686" t="s">
        <v>818</v>
      </c>
      <c r="C77" s="2692"/>
      <c r="D77" s="357"/>
      <c r="E77" s="120"/>
      <c r="F77" s="120"/>
      <c r="G77" s="346"/>
    </row>
    <row r="78" spans="1:7" ht="24.75" hidden="1" thickBot="1">
      <c r="A78" s="2681" t="s">
        <v>819</v>
      </c>
      <c r="B78" s="2686" t="s">
        <v>612</v>
      </c>
      <c r="C78" s="2692"/>
      <c r="D78" s="357"/>
      <c r="E78" s="120"/>
      <c r="F78" s="120"/>
      <c r="G78" s="346"/>
    </row>
    <row r="79" spans="1:7" ht="24.75" hidden="1" thickBot="1">
      <c r="A79" s="2681" t="s">
        <v>613</v>
      </c>
      <c r="B79" s="2686" t="s">
        <v>614</v>
      </c>
      <c r="C79" s="2692"/>
      <c r="D79" s="357"/>
      <c r="E79" s="120"/>
      <c r="F79" s="120"/>
      <c r="G79" s="346"/>
    </row>
    <row r="80" spans="1:7" ht="24.75" hidden="1" thickBot="1">
      <c r="A80" s="2681" t="s">
        <v>615</v>
      </c>
      <c r="B80" s="2686" t="s">
        <v>616</v>
      </c>
      <c r="C80" s="2692"/>
      <c r="D80" s="357"/>
      <c r="E80" s="120"/>
      <c r="F80" s="120"/>
      <c r="G80" s="346"/>
    </row>
    <row r="81" spans="1:7" ht="24.75" hidden="1" thickBot="1">
      <c r="A81" s="2681" t="s">
        <v>617</v>
      </c>
      <c r="B81" s="2686" t="s">
        <v>618</v>
      </c>
      <c r="C81" s="2692"/>
      <c r="D81" s="357"/>
      <c r="E81" s="120"/>
      <c r="F81" s="120"/>
      <c r="G81" s="346"/>
    </row>
    <row r="82" spans="1:7" ht="36.75" hidden="1" thickBot="1">
      <c r="A82" s="2681" t="s">
        <v>619</v>
      </c>
      <c r="B82" s="2686" t="s">
        <v>156</v>
      </c>
      <c r="C82" s="2692"/>
      <c r="D82" s="357"/>
      <c r="E82" s="120"/>
      <c r="F82" s="120"/>
      <c r="G82" s="346"/>
    </row>
    <row r="83" spans="1:7" ht="36.75" hidden="1" thickBot="1">
      <c r="A83" s="2681" t="s">
        <v>157</v>
      </c>
      <c r="B83" s="2686" t="s">
        <v>158</v>
      </c>
      <c r="C83" s="2692"/>
      <c r="D83" s="357"/>
      <c r="E83" s="120"/>
      <c r="F83" s="120"/>
      <c r="G83" s="346"/>
    </row>
    <row r="84" spans="1:7" ht="36.75" hidden="1" thickBot="1">
      <c r="A84" s="2681" t="s">
        <v>159</v>
      </c>
      <c r="B84" s="2685" t="s">
        <v>160</v>
      </c>
      <c r="C84" s="2692"/>
      <c r="D84" s="357"/>
      <c r="E84" s="120"/>
      <c r="F84" s="120"/>
      <c r="G84" s="346"/>
    </row>
    <row r="85" spans="1:7" ht="24.75" hidden="1" thickBot="1">
      <c r="A85" s="2681" t="s">
        <v>161</v>
      </c>
      <c r="B85" s="2686" t="s">
        <v>162</v>
      </c>
      <c r="C85" s="2692"/>
      <c r="D85" s="357"/>
      <c r="E85" s="120"/>
      <c r="F85" s="120"/>
      <c r="G85" s="346"/>
    </row>
    <row r="86" spans="1:7" ht="24.75" hidden="1" thickBot="1">
      <c r="A86" s="2681" t="s">
        <v>163</v>
      </c>
      <c r="B86" s="2686" t="s">
        <v>164</v>
      </c>
      <c r="C86" s="2692"/>
      <c r="D86" s="357"/>
      <c r="E86" s="120"/>
      <c r="F86" s="120"/>
      <c r="G86" s="346"/>
    </row>
    <row r="87" spans="1:7" ht="24.75" hidden="1" thickBot="1">
      <c r="A87" s="2681" t="s">
        <v>165</v>
      </c>
      <c r="B87" s="2686" t="s">
        <v>664</v>
      </c>
      <c r="C87" s="2692"/>
      <c r="D87" s="357"/>
      <c r="E87" s="120"/>
      <c r="F87" s="120"/>
      <c r="G87" s="346"/>
    </row>
    <row r="88" spans="1:7" ht="24.75" hidden="1" thickBot="1">
      <c r="A88" s="2681" t="s">
        <v>665</v>
      </c>
      <c r="B88" s="2686" t="s">
        <v>666</v>
      </c>
      <c r="C88" s="2692"/>
      <c r="D88" s="357"/>
      <c r="E88" s="120"/>
      <c r="F88" s="120"/>
      <c r="G88" s="346"/>
    </row>
    <row r="89" spans="1:7" ht="24.75" hidden="1" thickBot="1">
      <c r="A89" s="2681" t="s">
        <v>667</v>
      </c>
      <c r="B89" s="2686" t="s">
        <v>637</v>
      </c>
      <c r="C89" s="2692"/>
      <c r="D89" s="357"/>
      <c r="E89" s="120"/>
      <c r="F89" s="120"/>
      <c r="G89" s="346"/>
    </row>
    <row r="90" spans="1:7" ht="24.75" hidden="1" thickBot="1">
      <c r="A90" s="2681" t="s">
        <v>638</v>
      </c>
      <c r="B90" s="2686" t="s">
        <v>639</v>
      </c>
      <c r="C90" s="2692"/>
      <c r="D90" s="357"/>
      <c r="E90" s="120"/>
      <c r="F90" s="120"/>
      <c r="G90" s="346"/>
    </row>
    <row r="91" spans="1:7" ht="24.75" hidden="1" thickBot="1">
      <c r="A91" s="2681" t="s">
        <v>640</v>
      </c>
      <c r="B91" s="2686" t="s">
        <v>641</v>
      </c>
      <c r="C91" s="2692"/>
      <c r="D91" s="357"/>
      <c r="E91" s="120"/>
      <c r="F91" s="120"/>
      <c r="G91" s="346"/>
    </row>
    <row r="92" spans="1:7" ht="24.75" hidden="1" thickBot="1">
      <c r="A92" s="2683" t="s">
        <v>642</v>
      </c>
      <c r="B92" s="2685" t="s">
        <v>643</v>
      </c>
      <c r="C92" s="2692"/>
      <c r="D92" s="357"/>
      <c r="E92" s="120"/>
      <c r="F92" s="120"/>
      <c r="G92" s="346"/>
    </row>
    <row r="93" spans="1:7" ht="24.75" hidden="1" thickBot="1">
      <c r="A93" s="2681" t="s">
        <v>644</v>
      </c>
      <c r="B93" s="2685" t="s">
        <v>645</v>
      </c>
      <c r="C93" s="2692"/>
      <c r="D93" s="357"/>
      <c r="E93" s="120"/>
      <c r="F93" s="120"/>
      <c r="G93" s="346"/>
    </row>
    <row r="94" spans="1:7" ht="24.75" hidden="1" thickBot="1">
      <c r="A94" s="2681" t="s">
        <v>646</v>
      </c>
      <c r="B94" s="2686" t="s">
        <v>647</v>
      </c>
      <c r="C94" s="2692"/>
      <c r="D94" s="357"/>
      <c r="E94" s="120"/>
      <c r="F94" s="120"/>
      <c r="G94" s="346"/>
    </row>
    <row r="95" spans="1:7" ht="36.75" hidden="1" thickBot="1">
      <c r="A95" s="2681" t="s">
        <v>648</v>
      </c>
      <c r="B95" s="2686" t="s">
        <v>649</v>
      </c>
      <c r="C95" s="2692"/>
      <c r="D95" s="357"/>
      <c r="E95" s="120"/>
      <c r="F95" s="120"/>
      <c r="G95" s="346"/>
    </row>
    <row r="96" spans="1:7" ht="48.75" hidden="1" thickBot="1">
      <c r="A96" s="2681" t="s">
        <v>650</v>
      </c>
      <c r="B96" s="2686" t="s">
        <v>651</v>
      </c>
      <c r="C96" s="2692"/>
      <c r="D96" s="357"/>
      <c r="E96" s="120"/>
      <c r="F96" s="120"/>
      <c r="G96" s="346"/>
    </row>
    <row r="97" spans="1:7" ht="36.75" hidden="1" thickBot="1">
      <c r="A97" s="2681" t="s">
        <v>652</v>
      </c>
      <c r="B97" s="2686" t="s">
        <v>653</v>
      </c>
      <c r="C97" s="2692"/>
      <c r="D97" s="357"/>
      <c r="E97" s="120"/>
      <c r="F97" s="120"/>
      <c r="G97" s="346"/>
    </row>
    <row r="98" spans="1:7" ht="24.75" hidden="1" thickBot="1">
      <c r="A98" s="2681" t="s">
        <v>654</v>
      </c>
      <c r="B98" s="2685" t="s">
        <v>655</v>
      </c>
      <c r="C98" s="2692"/>
      <c r="D98" s="357"/>
      <c r="E98" s="120"/>
      <c r="F98" s="120"/>
      <c r="G98" s="346"/>
    </row>
    <row r="99" spans="1:7" ht="24.75" hidden="1" thickBot="1">
      <c r="A99" s="2681" t="s">
        <v>656</v>
      </c>
      <c r="B99" s="2686" t="s">
        <v>657</v>
      </c>
      <c r="C99" s="2692"/>
      <c r="D99" s="357"/>
      <c r="E99" s="120"/>
      <c r="F99" s="120"/>
      <c r="G99" s="346"/>
    </row>
    <row r="100" spans="1:7" ht="36.75" hidden="1" thickBot="1">
      <c r="A100" s="2681" t="s">
        <v>658</v>
      </c>
      <c r="B100" s="2686" t="s">
        <v>240</v>
      </c>
      <c r="C100" s="2692"/>
      <c r="D100" s="357"/>
      <c r="E100" s="120"/>
      <c r="F100" s="120"/>
      <c r="G100" s="346"/>
    </row>
    <row r="101" spans="1:7" ht="24.75" hidden="1" thickBot="1">
      <c r="A101" s="2681" t="s">
        <v>241</v>
      </c>
      <c r="B101" s="2686" t="s">
        <v>242</v>
      </c>
      <c r="C101" s="2692"/>
      <c r="D101" s="357"/>
      <c r="E101" s="120"/>
      <c r="F101" s="120"/>
      <c r="G101" s="346"/>
    </row>
    <row r="102" spans="1:7" ht="24.75" hidden="1" thickBot="1">
      <c r="A102" s="2681" t="s">
        <v>243</v>
      </c>
      <c r="B102" s="2685" t="s">
        <v>244</v>
      </c>
      <c r="C102" s="2692"/>
      <c r="D102" s="357"/>
      <c r="E102" s="120"/>
      <c r="F102" s="120"/>
      <c r="G102" s="346"/>
    </row>
    <row r="103" spans="1:7" ht="36.75" hidden="1" thickBot="1">
      <c r="A103" s="2681" t="s">
        <v>245</v>
      </c>
      <c r="B103" s="2686" t="s">
        <v>246</v>
      </c>
      <c r="C103" s="2692"/>
      <c r="D103" s="357"/>
      <c r="E103" s="120"/>
      <c r="F103" s="120"/>
      <c r="G103" s="346"/>
    </row>
    <row r="104" spans="1:7" ht="24.75" hidden="1" thickBot="1">
      <c r="A104" s="2681" t="s">
        <v>247</v>
      </c>
      <c r="B104" s="2685" t="s">
        <v>248</v>
      </c>
      <c r="C104" s="2692"/>
      <c r="D104" s="357"/>
      <c r="E104" s="120"/>
      <c r="F104" s="120"/>
      <c r="G104" s="346"/>
    </row>
    <row r="105" spans="1:7" ht="24.75" hidden="1" thickBot="1">
      <c r="A105" s="2681" t="s">
        <v>249</v>
      </c>
      <c r="B105" s="2686" t="s">
        <v>655</v>
      </c>
      <c r="C105" s="2692"/>
      <c r="D105" s="357"/>
      <c r="E105" s="120"/>
      <c r="F105" s="120"/>
      <c r="G105" s="346"/>
    </row>
    <row r="106" spans="1:7" ht="13.5" hidden="1" thickBot="1">
      <c r="A106" s="2681" t="s">
        <v>250</v>
      </c>
      <c r="B106" s="2686" t="s">
        <v>251</v>
      </c>
      <c r="C106" s="2692"/>
      <c r="D106" s="357"/>
      <c r="E106" s="120"/>
      <c r="F106" s="120"/>
      <c r="G106" s="346"/>
    </row>
    <row r="107" spans="1:7" ht="24.75" hidden="1" thickBot="1">
      <c r="A107" s="2681" t="s">
        <v>252</v>
      </c>
      <c r="B107" s="2686" t="s">
        <v>214</v>
      </c>
      <c r="C107" s="2692"/>
      <c r="D107" s="357"/>
      <c r="E107" s="120"/>
      <c r="F107" s="120"/>
      <c r="G107" s="346"/>
    </row>
    <row r="108" spans="1:7" ht="24.75" hidden="1" thickBot="1">
      <c r="A108" s="2681" t="s">
        <v>215</v>
      </c>
      <c r="B108" s="2686" t="s">
        <v>216</v>
      </c>
      <c r="C108" s="2692"/>
      <c r="D108" s="357"/>
      <c r="E108" s="120"/>
      <c r="F108" s="120"/>
      <c r="G108" s="346"/>
    </row>
    <row r="109" spans="1:7" ht="24.75" hidden="1" thickBot="1">
      <c r="A109" s="2683" t="s">
        <v>217</v>
      </c>
      <c r="B109" s="2685" t="s">
        <v>218</v>
      </c>
      <c r="C109" s="2692"/>
      <c r="D109" s="357"/>
      <c r="E109" s="120"/>
      <c r="F109" s="120"/>
      <c r="G109" s="346"/>
    </row>
    <row r="110" spans="1:7" ht="24.75" hidden="1" thickBot="1">
      <c r="A110" s="2681" t="s">
        <v>219</v>
      </c>
      <c r="B110" s="2686" t="s">
        <v>220</v>
      </c>
      <c r="C110" s="2692"/>
      <c r="D110" s="357"/>
      <c r="E110" s="120"/>
      <c r="F110" s="120"/>
      <c r="G110" s="346"/>
    </row>
    <row r="111" spans="1:7" ht="24.75" hidden="1" thickBot="1">
      <c r="A111" s="2681" t="s">
        <v>221</v>
      </c>
      <c r="B111" s="2686" t="s">
        <v>222</v>
      </c>
      <c r="C111" s="2692"/>
      <c r="D111" s="357"/>
      <c r="E111" s="120"/>
      <c r="F111" s="120"/>
      <c r="G111" s="346"/>
    </row>
    <row r="112" spans="1:7" ht="24.75" hidden="1" thickBot="1">
      <c r="A112" s="2681" t="s">
        <v>223</v>
      </c>
      <c r="B112" s="2686" t="s">
        <v>234</v>
      </c>
      <c r="C112" s="2692"/>
      <c r="D112" s="358"/>
      <c r="E112" s="350"/>
      <c r="F112" s="350"/>
      <c r="G112" s="351"/>
    </row>
    <row r="113" spans="1:9" ht="24.75" thickBot="1">
      <c r="A113" s="2892" t="s">
        <v>1414</v>
      </c>
      <c r="B113" s="2893" t="s">
        <v>778</v>
      </c>
      <c r="C113" s="2894">
        <f aca="true" t="shared" si="0" ref="C113:H113">-C114</f>
        <v>6999.999999999985</v>
      </c>
      <c r="D113" s="2894">
        <f t="shared" si="0"/>
        <v>0</v>
      </c>
      <c r="E113" s="2894">
        <f t="shared" si="0"/>
        <v>0</v>
      </c>
      <c r="F113" s="2894">
        <f t="shared" si="0"/>
        <v>-1469.7</v>
      </c>
      <c r="G113" s="2894">
        <f t="shared" si="0"/>
        <v>0</v>
      </c>
      <c r="H113" s="2894">
        <f t="shared" si="0"/>
        <v>-19075.60000000002</v>
      </c>
      <c r="I113" s="2895">
        <f>I114-I162</f>
        <v>19.8463854453977</v>
      </c>
    </row>
    <row r="114" spans="1:9" ht="12.75">
      <c r="A114" s="2896" t="s">
        <v>1415</v>
      </c>
      <c r="B114" s="2897" t="s">
        <v>849</v>
      </c>
      <c r="C114" s="2895">
        <f>C115-C119</f>
        <v>-6999.999999999985</v>
      </c>
      <c r="D114" s="2895">
        <f aca="true" t="shared" si="1" ref="D114:I114">D115-D119</f>
        <v>0</v>
      </c>
      <c r="E114" s="2895">
        <f t="shared" si="1"/>
        <v>0</v>
      </c>
      <c r="F114" s="2895">
        <f t="shared" si="1"/>
        <v>1469.7</v>
      </c>
      <c r="G114" s="2895">
        <f t="shared" si="1"/>
        <v>0</v>
      </c>
      <c r="H114" s="2895">
        <f t="shared" si="1"/>
        <v>19075.60000000002</v>
      </c>
      <c r="I114" s="2895">
        <f t="shared" si="1"/>
        <v>19.8463854453977</v>
      </c>
    </row>
    <row r="115" spans="1:9" ht="12.75">
      <c r="A115" s="2898" t="s">
        <v>1416</v>
      </c>
      <c r="B115" s="2899" t="s">
        <v>235</v>
      </c>
      <c r="C115" s="283">
        <f>C116</f>
        <v>117659</v>
      </c>
      <c r="D115" s="283">
        <f aca="true" t="shared" si="2" ref="D115:I117">D116</f>
        <v>0</v>
      </c>
      <c r="E115" s="283">
        <f t="shared" si="2"/>
        <v>0</v>
      </c>
      <c r="F115" s="283">
        <f t="shared" si="2"/>
        <v>1469.7</v>
      </c>
      <c r="G115" s="283">
        <f t="shared" si="2"/>
        <v>0</v>
      </c>
      <c r="H115" s="283">
        <f t="shared" si="2"/>
        <v>95214.8</v>
      </c>
      <c r="I115" s="283">
        <f t="shared" si="2"/>
        <v>80.92436617683305</v>
      </c>
    </row>
    <row r="116" spans="1:9" ht="12.75">
      <c r="A116" s="2900" t="s">
        <v>1417</v>
      </c>
      <c r="B116" s="2901" t="s">
        <v>739</v>
      </c>
      <c r="C116" s="256">
        <f>C117</f>
        <v>117659</v>
      </c>
      <c r="D116" s="256">
        <f t="shared" si="2"/>
        <v>0</v>
      </c>
      <c r="E116" s="256">
        <f t="shared" si="2"/>
        <v>0</v>
      </c>
      <c r="F116" s="256">
        <f t="shared" si="2"/>
        <v>1469.7</v>
      </c>
      <c r="G116" s="256">
        <f t="shared" si="2"/>
        <v>0</v>
      </c>
      <c r="H116" s="256">
        <f t="shared" si="2"/>
        <v>95214.8</v>
      </c>
      <c r="I116" s="256">
        <f t="shared" si="2"/>
        <v>80.92436617683305</v>
      </c>
    </row>
    <row r="117" spans="1:9" ht="12.75">
      <c r="A117" s="2900" t="s">
        <v>1418</v>
      </c>
      <c r="B117" s="2901" t="s">
        <v>740</v>
      </c>
      <c r="C117" s="256">
        <f>C118</f>
        <v>117659</v>
      </c>
      <c r="D117" s="256">
        <f t="shared" si="2"/>
        <v>0</v>
      </c>
      <c r="E117" s="256">
        <f t="shared" si="2"/>
        <v>0</v>
      </c>
      <c r="F117" s="256">
        <f t="shared" si="2"/>
        <v>1469.7</v>
      </c>
      <c r="G117" s="256">
        <f t="shared" si="2"/>
        <v>0</v>
      </c>
      <c r="H117" s="256">
        <f t="shared" si="2"/>
        <v>95214.8</v>
      </c>
      <c r="I117" s="256">
        <f t="shared" si="2"/>
        <v>80.92436617683305</v>
      </c>
    </row>
    <row r="118" spans="1:9" ht="24">
      <c r="A118" s="2900" t="s">
        <v>1419</v>
      </c>
      <c r="B118" s="2901" t="s">
        <v>1420</v>
      </c>
      <c r="C118" s="256">
        <f>Доходы!E84</f>
        <v>117659</v>
      </c>
      <c r="D118" s="256">
        <f>'[1]ДОХ. 2013 Пр.1'!F50</f>
        <v>0</v>
      </c>
      <c r="E118" s="256">
        <f>'[1]ДОХ. 2013 Пр.1'!G50</f>
        <v>0</v>
      </c>
      <c r="F118" s="256">
        <f>'[1]ДОХ. 2013 Пр.1'!H50</f>
        <v>1469.7</v>
      </c>
      <c r="G118" s="256">
        <f>'[1]ДОХ. 2013 Пр.1'!I50</f>
        <v>0</v>
      </c>
      <c r="H118" s="256">
        <f>Доходы!J84</f>
        <v>95214.8</v>
      </c>
      <c r="I118" s="256">
        <f>Доходы!K84</f>
        <v>80.92436617683305</v>
      </c>
    </row>
    <row r="119" spans="1:9" ht="12.75">
      <c r="A119" s="2898" t="s">
        <v>1421</v>
      </c>
      <c r="B119" s="2899" t="s">
        <v>496</v>
      </c>
      <c r="C119" s="283">
        <f>C120</f>
        <v>124658.99999999999</v>
      </c>
      <c r="D119" s="283">
        <f aca="true" t="shared" si="3" ref="D119:I119">D120</f>
        <v>0</v>
      </c>
      <c r="E119" s="283">
        <f t="shared" si="3"/>
        <v>0</v>
      </c>
      <c r="F119" s="283">
        <f t="shared" si="3"/>
        <v>0</v>
      </c>
      <c r="G119" s="283">
        <f t="shared" si="3"/>
        <v>0</v>
      </c>
      <c r="H119" s="283">
        <f t="shared" si="3"/>
        <v>76139.19999999998</v>
      </c>
      <c r="I119" s="283">
        <f t="shared" si="3"/>
        <v>61.077980731435346</v>
      </c>
    </row>
    <row r="120" spans="1:9" ht="12.75">
      <c r="A120" s="2900" t="s">
        <v>1422</v>
      </c>
      <c r="B120" s="2901" t="s">
        <v>756</v>
      </c>
      <c r="C120" s="256">
        <f>C121</f>
        <v>124658.99999999999</v>
      </c>
      <c r="D120" s="256">
        <f aca="true" t="shared" si="4" ref="D120:I120">D121</f>
        <v>0</v>
      </c>
      <c r="E120" s="256">
        <f t="shared" si="4"/>
        <v>0</v>
      </c>
      <c r="F120" s="256">
        <f t="shared" si="4"/>
        <v>0</v>
      </c>
      <c r="G120" s="256">
        <f t="shared" si="4"/>
        <v>0</v>
      </c>
      <c r="H120" s="256">
        <f t="shared" si="4"/>
        <v>76139.19999999998</v>
      </c>
      <c r="I120" s="256">
        <f t="shared" si="4"/>
        <v>61.077980731435346</v>
      </c>
    </row>
    <row r="121" spans="1:9" ht="12.75">
      <c r="A121" s="2900" t="s">
        <v>1423</v>
      </c>
      <c r="B121" s="2901" t="s">
        <v>757</v>
      </c>
      <c r="C121" s="256">
        <f>C122</f>
        <v>124658.99999999999</v>
      </c>
      <c r="D121" s="256">
        <f aca="true" t="shared" si="5" ref="D121:I121">D122</f>
        <v>0</v>
      </c>
      <c r="E121" s="256">
        <f t="shared" si="5"/>
        <v>0</v>
      </c>
      <c r="F121" s="256">
        <f t="shared" si="5"/>
        <v>0</v>
      </c>
      <c r="G121" s="256">
        <f t="shared" si="5"/>
        <v>0</v>
      </c>
      <c r="H121" s="256">
        <f t="shared" si="5"/>
        <v>76139.19999999998</v>
      </c>
      <c r="I121" s="256">
        <f t="shared" si="5"/>
        <v>61.077980731435346</v>
      </c>
    </row>
    <row r="122" spans="1:9" ht="24.75" thickBot="1">
      <c r="A122" s="2902" t="s">
        <v>1424</v>
      </c>
      <c r="B122" s="2903" t="s">
        <v>1425</v>
      </c>
      <c r="C122" s="2904">
        <f>Расходы!G237</f>
        <v>124658.99999999999</v>
      </c>
      <c r="D122" s="359">
        <f>'[1]ВЕД.СТ-РА Пр.2.'!K166</f>
        <v>0</v>
      </c>
      <c r="E122" s="347">
        <f>'[1]ВЕД.СТ-РА Пр.2.'!L166</f>
        <v>0</v>
      </c>
      <c r="F122" s="347">
        <f>'[1]ВЕД.СТ-РА Пр.2.'!M166</f>
        <v>0</v>
      </c>
      <c r="G122" s="2905">
        <f>'[1]ВЕД.СТ-РА Пр.2.'!N166</f>
        <v>0</v>
      </c>
      <c r="H122" s="2906">
        <f>Расходы!H237</f>
        <v>76139.19999999998</v>
      </c>
      <c r="I122" s="2907">
        <f>Расходы!I237</f>
        <v>61.077980731435346</v>
      </c>
    </row>
  </sheetData>
  <sheetProtection/>
  <mergeCells count="5">
    <mergeCell ref="A1:I1"/>
    <mergeCell ref="A2:I2"/>
    <mergeCell ref="A3:I3"/>
    <mergeCell ref="A4:I4"/>
    <mergeCell ref="A5:C5"/>
  </mergeCells>
  <printOptions/>
  <pageMargins left="0.98" right="0" top="0.984251968503937" bottom="3.92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3"/>
  <sheetViews>
    <sheetView view="pageBreakPreview" zoomScaleSheetLayoutView="100" zoomScalePageLayoutView="0" workbookViewId="0" topLeftCell="B163">
      <selection activeCell="F39" sqref="F39"/>
    </sheetView>
  </sheetViews>
  <sheetFormatPr defaultColWidth="9.00390625" defaultRowHeight="12.75"/>
  <cols>
    <col min="1" max="1" width="7.75390625" style="0" hidden="1" customWidth="1"/>
    <col min="2" max="2" width="7.00390625" style="1295" customWidth="1"/>
    <col min="3" max="3" width="49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 hidden="1">
      <c r="B1" s="2939" t="s">
        <v>30</v>
      </c>
      <c r="C1" s="2939"/>
      <c r="D1" s="2939"/>
      <c r="E1" s="2939"/>
      <c r="F1" s="2939"/>
      <c r="G1" s="2939"/>
      <c r="H1" s="2939"/>
      <c r="I1" s="2939"/>
      <c r="J1" s="15"/>
      <c r="K1" s="15"/>
      <c r="L1" s="15"/>
      <c r="M1" s="15"/>
    </row>
    <row r="2" spans="2:13" ht="15.75" customHeight="1" hidden="1">
      <c r="B2" s="2931" t="s">
        <v>83</v>
      </c>
      <c r="C2" s="2931"/>
      <c r="D2" s="2931"/>
      <c r="E2" s="2931"/>
      <c r="F2" s="2931"/>
      <c r="G2" s="2931"/>
      <c r="H2" s="2931"/>
      <c r="I2" s="2931"/>
      <c r="J2" s="15"/>
      <c r="K2" s="15"/>
      <c r="L2" s="15"/>
      <c r="M2" s="15"/>
    </row>
    <row r="3" spans="2:13" ht="15.75" customHeight="1" hidden="1">
      <c r="B3" s="2961" t="s">
        <v>710</v>
      </c>
      <c r="C3" s="2962"/>
      <c r="D3" s="2962"/>
      <c r="E3" s="2962"/>
      <c r="F3" s="2962"/>
      <c r="G3" s="2962"/>
      <c r="H3" s="2962"/>
      <c r="I3" s="2962"/>
      <c r="J3" s="15"/>
      <c r="K3" s="15"/>
      <c r="L3" s="15"/>
      <c r="M3" s="15"/>
    </row>
    <row r="4" spans="2:13" ht="15.75" hidden="1">
      <c r="B4" s="2951" t="str">
        <f>'Бюд.р.'!D115</f>
        <v>№ 02-03-01 от 12.01.2015</v>
      </c>
      <c r="C4" s="2951"/>
      <c r="D4" s="2951"/>
      <c r="E4" s="2951"/>
      <c r="F4" s="2951"/>
      <c r="G4" s="2951"/>
      <c r="H4" s="2951"/>
      <c r="I4" s="2951"/>
      <c r="J4" s="15"/>
      <c r="K4" s="15"/>
      <c r="L4" s="15"/>
      <c r="M4" s="15"/>
    </row>
    <row r="5" spans="2:13" ht="15.75" hidden="1">
      <c r="B5" s="2963" t="str">
        <f>'Бюд.р.'!D117</f>
        <v>№ 02-03-03 от 30.01.2015</v>
      </c>
      <c r="C5" s="2963"/>
      <c r="D5" s="2963"/>
      <c r="E5" s="2963"/>
      <c r="F5" s="2963"/>
      <c r="G5" s="2963"/>
      <c r="H5" s="2963"/>
      <c r="I5" s="2963"/>
      <c r="J5" s="15"/>
      <c r="K5" s="15"/>
      <c r="L5" s="15"/>
      <c r="M5" s="15"/>
    </row>
    <row r="6" spans="2:13" ht="15.75">
      <c r="B6" s="2964"/>
      <c r="C6" s="2964"/>
      <c r="D6" s="2958" t="s">
        <v>180</v>
      </c>
      <c r="E6" s="2958"/>
      <c r="F6" s="2958"/>
      <c r="G6" s="2958"/>
      <c r="H6" s="2958"/>
      <c r="I6" s="2958"/>
      <c r="J6" s="15"/>
      <c r="K6" s="15"/>
      <c r="L6" s="15"/>
      <c r="M6" s="15"/>
    </row>
    <row r="7" spans="2:13" ht="13.5" customHeight="1">
      <c r="B7" s="2958" t="s">
        <v>427</v>
      </c>
      <c r="C7" s="2958"/>
      <c r="D7" s="2958"/>
      <c r="E7" s="2958"/>
      <c r="F7" s="2958"/>
      <c r="G7" s="2958"/>
      <c r="H7" s="2958"/>
      <c r="I7" s="2958"/>
      <c r="J7" s="15"/>
      <c r="K7" s="15"/>
      <c r="L7" s="15"/>
      <c r="M7" s="15"/>
    </row>
    <row r="8" spans="1:13" ht="15" customHeight="1">
      <c r="A8" s="152"/>
      <c r="B8" s="910"/>
      <c r="C8" s="2958" t="s">
        <v>1356</v>
      </c>
      <c r="D8" s="2959"/>
      <c r="E8" s="2959"/>
      <c r="F8" s="2959"/>
      <c r="G8" s="2959"/>
      <c r="H8" s="2959"/>
      <c r="I8" s="2959"/>
      <c r="J8" s="152"/>
      <c r="K8" s="152"/>
      <c r="L8" s="152"/>
      <c r="M8" s="152"/>
    </row>
    <row r="9" spans="1:13" ht="13.5" customHeight="1">
      <c r="A9" s="152"/>
      <c r="B9" s="910"/>
      <c r="C9" s="2958" t="s">
        <v>1360</v>
      </c>
      <c r="D9" s="2959"/>
      <c r="E9" s="2959"/>
      <c r="F9" s="2959"/>
      <c r="G9" s="2959"/>
      <c r="H9" s="2959"/>
      <c r="I9" s="2959"/>
      <c r="J9" s="152"/>
      <c r="K9" s="152"/>
      <c r="L9" s="152"/>
      <c r="M9" s="152"/>
    </row>
    <row r="10" spans="1:13" ht="13.5" customHeight="1">
      <c r="A10" s="152"/>
      <c r="B10" s="910"/>
      <c r="C10" s="2958" t="s">
        <v>427</v>
      </c>
      <c r="D10" s="2958"/>
      <c r="E10" s="2958"/>
      <c r="F10" s="2958"/>
      <c r="G10" s="2958"/>
      <c r="H10" s="2958"/>
      <c r="I10" s="2958"/>
      <c r="J10" s="2958"/>
      <c r="K10" s="152"/>
      <c r="L10" s="152"/>
      <c r="M10" s="152"/>
    </row>
    <row r="11" spans="1:13" ht="12" customHeight="1">
      <c r="A11" s="152"/>
      <c r="B11" s="910"/>
      <c r="C11" s="910"/>
      <c r="D11" s="2958" t="s">
        <v>1383</v>
      </c>
      <c r="E11" s="2959"/>
      <c r="F11" s="2959"/>
      <c r="G11" s="2959"/>
      <c r="H11" s="2959"/>
      <c r="I11" s="2959"/>
      <c r="J11" s="2959"/>
      <c r="K11" s="152"/>
      <c r="L11" s="152"/>
      <c r="M11" s="152"/>
    </row>
    <row r="12" spans="1:13" ht="14.25" customHeight="1">
      <c r="A12" s="152"/>
      <c r="B12" s="910"/>
      <c r="C12" s="2958" t="s">
        <v>180</v>
      </c>
      <c r="D12" s="2959"/>
      <c r="E12" s="2959"/>
      <c r="F12" s="2959"/>
      <c r="G12" s="2959"/>
      <c r="H12" s="2959"/>
      <c r="I12" s="2959"/>
      <c r="J12" s="2679"/>
      <c r="K12" s="152"/>
      <c r="L12" s="152"/>
      <c r="M12" s="152"/>
    </row>
    <row r="13" spans="1:13" ht="14.25" customHeight="1">
      <c r="A13" s="152"/>
      <c r="B13" s="910"/>
      <c r="C13" s="2958" t="s">
        <v>427</v>
      </c>
      <c r="D13" s="2958"/>
      <c r="E13" s="2958"/>
      <c r="F13" s="2958"/>
      <c r="G13" s="2958"/>
      <c r="H13" s="2958"/>
      <c r="I13" s="2958"/>
      <c r="J13" s="2958"/>
      <c r="K13" s="152"/>
      <c r="L13" s="152"/>
      <c r="M13" s="152"/>
    </row>
    <row r="14" spans="1:13" ht="12.75" customHeight="1">
      <c r="A14" s="152"/>
      <c r="B14" s="910"/>
      <c r="C14" s="910"/>
      <c r="D14" s="2958" t="s">
        <v>1402</v>
      </c>
      <c r="E14" s="2959"/>
      <c r="F14" s="2959"/>
      <c r="G14" s="2959"/>
      <c r="H14" s="2959"/>
      <c r="I14" s="2959"/>
      <c r="J14" s="2959"/>
      <c r="K14" s="152"/>
      <c r="L14" s="152"/>
      <c r="M14" s="152"/>
    </row>
    <row r="15" spans="1:13" ht="36" customHeight="1">
      <c r="A15" s="152"/>
      <c r="B15" s="2960" t="s">
        <v>82</v>
      </c>
      <c r="C15" s="2960"/>
      <c r="D15" s="2960"/>
      <c r="E15" s="2960"/>
      <c r="F15" s="2960"/>
      <c r="G15" s="2960"/>
      <c r="H15" s="2960"/>
      <c r="I15" s="2960"/>
      <c r="J15" s="152"/>
      <c r="K15" s="152"/>
      <c r="L15" s="152"/>
      <c r="M15" s="152"/>
    </row>
    <row r="16" spans="1:13" ht="15.75" customHeight="1">
      <c r="A16" s="152"/>
      <c r="B16" s="2931" t="s">
        <v>1280</v>
      </c>
      <c r="C16" s="2931"/>
      <c r="D16" s="2931"/>
      <c r="E16" s="2931"/>
      <c r="F16" s="2931"/>
      <c r="G16" s="2931"/>
      <c r="H16" s="2931"/>
      <c r="I16" s="2931"/>
      <c r="J16" s="152"/>
      <c r="K16" s="152"/>
      <c r="L16" s="152"/>
      <c r="M16" s="152"/>
    </row>
    <row r="17" spans="1:13" ht="12.75" customHeight="1" thickBot="1">
      <c r="A17" s="152"/>
      <c r="B17" s="152"/>
      <c r="C17" s="2930" t="s">
        <v>253</v>
      </c>
      <c r="D17" s="2930"/>
      <c r="E17" s="2930"/>
      <c r="F17" s="2930"/>
      <c r="G17" s="2930"/>
      <c r="H17" s="2930"/>
      <c r="I17" s="2930"/>
      <c r="J17" s="326"/>
      <c r="K17" s="326"/>
      <c r="L17" s="326"/>
      <c r="M17" s="326"/>
    </row>
    <row r="18" spans="1:13" ht="39.75" thickBot="1">
      <c r="A18" s="57" t="s">
        <v>108</v>
      </c>
      <c r="B18" s="43" t="s">
        <v>828</v>
      </c>
      <c r="C18" s="24" t="s">
        <v>254</v>
      </c>
      <c r="D18" s="1345" t="s">
        <v>443</v>
      </c>
      <c r="E18" s="196" t="s">
        <v>267</v>
      </c>
      <c r="F18" s="196" t="s">
        <v>265</v>
      </c>
      <c r="G18" s="1346" t="s">
        <v>110</v>
      </c>
      <c r="H18" s="1342" t="s">
        <v>266</v>
      </c>
      <c r="I18" s="255" t="s">
        <v>303</v>
      </c>
      <c r="J18" s="258" t="s">
        <v>807</v>
      </c>
      <c r="K18" s="259" t="s">
        <v>808</v>
      </c>
      <c r="L18" s="259" t="s">
        <v>793</v>
      </c>
      <c r="M18" s="292" t="s">
        <v>794</v>
      </c>
    </row>
    <row r="19" spans="1:13" ht="12.75">
      <c r="A19" s="119">
        <v>1</v>
      </c>
      <c r="B19" s="306" t="s">
        <v>727</v>
      </c>
      <c r="C19" s="790">
        <v>2</v>
      </c>
      <c r="D19" s="1347" t="s">
        <v>471</v>
      </c>
      <c r="E19" s="195" t="s">
        <v>680</v>
      </c>
      <c r="F19" s="195" t="s">
        <v>326</v>
      </c>
      <c r="G19" s="1348" t="s">
        <v>327</v>
      </c>
      <c r="H19" s="1129" t="s">
        <v>327</v>
      </c>
      <c r="I19" s="328">
        <v>7</v>
      </c>
      <c r="J19" s="329">
        <v>8</v>
      </c>
      <c r="K19" s="330">
        <v>9</v>
      </c>
      <c r="L19" s="330">
        <v>10</v>
      </c>
      <c r="M19" s="331">
        <v>11</v>
      </c>
    </row>
    <row r="20" spans="1:13" ht="16.5" hidden="1" thickBot="1">
      <c r="A20" s="162" t="s">
        <v>673</v>
      </c>
      <c r="B20" s="307"/>
      <c r="C20" s="791" t="s">
        <v>111</v>
      </c>
      <c r="D20" s="770"/>
      <c r="E20" s="189" t="s">
        <v>448</v>
      </c>
      <c r="F20" s="190"/>
      <c r="G20" s="771"/>
      <c r="H20" s="1130"/>
      <c r="I20" s="281"/>
      <c r="J20" s="269"/>
      <c r="K20" s="191"/>
      <c r="L20" s="191"/>
      <c r="M20" s="293"/>
    </row>
    <row r="21" spans="1:13" ht="40.5" customHeight="1" hidden="1" thickBot="1">
      <c r="A21" s="163" t="s">
        <v>112</v>
      </c>
      <c r="B21" s="664"/>
      <c r="C21" s="1322" t="s">
        <v>747</v>
      </c>
      <c r="D21" s="1349"/>
      <c r="E21" s="665" t="s">
        <v>312</v>
      </c>
      <c r="F21" s="665"/>
      <c r="G21" s="1350"/>
      <c r="H21" s="1343"/>
      <c r="I21" s="666"/>
      <c r="J21" s="270"/>
      <c r="K21" s="260"/>
      <c r="L21" s="260"/>
      <c r="M21" s="294"/>
    </row>
    <row r="22" spans="1:13" ht="30.75" customHeight="1" hidden="1" thickBot="1">
      <c r="A22" s="163"/>
      <c r="B22" s="1725" t="s">
        <v>727</v>
      </c>
      <c r="C22" s="1726" t="s">
        <v>1135</v>
      </c>
      <c r="D22" s="1727">
        <v>917</v>
      </c>
      <c r="E22" s="1728"/>
      <c r="F22" s="1728"/>
      <c r="G22" s="1729"/>
      <c r="H22" s="1730"/>
      <c r="I22" s="1731" t="e">
        <f>I23+I51</f>
        <v>#REF!</v>
      </c>
      <c r="J22" s="270"/>
      <c r="K22" s="260"/>
      <c r="L22" s="260"/>
      <c r="M22" s="294"/>
    </row>
    <row r="23" spans="1:13" ht="18.75" customHeight="1" hidden="1" thickBot="1">
      <c r="A23" s="163"/>
      <c r="B23" s="1299" t="s">
        <v>673</v>
      </c>
      <c r="C23" s="1336" t="s">
        <v>111</v>
      </c>
      <c r="D23" s="1300">
        <v>917</v>
      </c>
      <c r="E23" s="1301" t="s">
        <v>456</v>
      </c>
      <c r="F23" s="1301"/>
      <c r="G23" s="1302"/>
      <c r="H23" s="1303"/>
      <c r="I23" s="1319" t="e">
        <f>#REF!+I24</f>
        <v>#REF!</v>
      </c>
      <c r="J23" s="270"/>
      <c r="K23" s="260"/>
      <c r="L23" s="260"/>
      <c r="M23" s="294"/>
    </row>
    <row r="24" spans="1:13" ht="27.75" customHeight="1" hidden="1">
      <c r="A24" s="163"/>
      <c r="B24" s="1297" t="s">
        <v>727</v>
      </c>
      <c r="C24" s="1337" t="str">
        <f>'Бюд.р.'!A9</f>
        <v>Обеспечение проведения выборов и референдумов</v>
      </c>
      <c r="D24" s="1224">
        <v>917</v>
      </c>
      <c r="E24" s="1238" t="s">
        <v>1148</v>
      </c>
      <c r="F24" s="1238"/>
      <c r="G24" s="1248"/>
      <c r="H24" s="1247"/>
      <c r="I24" s="1314">
        <f>I25</f>
        <v>0</v>
      </c>
      <c r="J24" s="270"/>
      <c r="K24" s="260"/>
      <c r="L24" s="260"/>
      <c r="M24" s="294"/>
    </row>
    <row r="25" spans="1:13" ht="14.25" customHeight="1" hidden="1">
      <c r="A25" s="163"/>
      <c r="B25" s="1278" t="s">
        <v>280</v>
      </c>
      <c r="C25" s="1323" t="s">
        <v>1146</v>
      </c>
      <c r="D25" s="1188">
        <v>917</v>
      </c>
      <c r="E25" s="1189" t="s">
        <v>1148</v>
      </c>
      <c r="F25" s="1189" t="str">
        <f>'Бюд.р.'!D10</f>
        <v>020 01 00</v>
      </c>
      <c r="G25" s="1190"/>
      <c r="H25" s="1191"/>
      <c r="I25" s="1308">
        <f>I26+I29</f>
        <v>0</v>
      </c>
      <c r="J25" s="270"/>
      <c r="K25" s="260"/>
      <c r="L25" s="260"/>
      <c r="M25" s="294"/>
    </row>
    <row r="26" spans="1:13" ht="25.5" customHeight="1" hidden="1">
      <c r="A26" s="163"/>
      <c r="B26" s="1278" t="s">
        <v>280</v>
      </c>
      <c r="C26" s="1323" t="str">
        <f>'Бюд.р.'!A11</f>
        <v>Проведение выборов в представительные органы муниципального образования</v>
      </c>
      <c r="D26" s="1188">
        <v>917</v>
      </c>
      <c r="E26" s="1189" t="s">
        <v>1148</v>
      </c>
      <c r="F26" s="1189" t="str">
        <f>'Бюд.р.'!D11</f>
        <v>020 01 01</v>
      </c>
      <c r="G26" s="1190"/>
      <c r="H26" s="1191"/>
      <c r="I26" s="1308">
        <f>SUM(I27:I28)</f>
        <v>0</v>
      </c>
      <c r="J26" s="270"/>
      <c r="K26" s="260"/>
      <c r="L26" s="260"/>
      <c r="M26" s="294"/>
    </row>
    <row r="27" spans="1:13" ht="45" customHeight="1" hidden="1">
      <c r="A27" s="163"/>
      <c r="B27" s="1279" t="s">
        <v>198</v>
      </c>
      <c r="C27" s="1234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7" s="1192">
        <v>917</v>
      </c>
      <c r="E27" s="1193" t="s">
        <v>1148</v>
      </c>
      <c r="F27" s="1193" t="str">
        <f>'Бюд.р.'!D13</f>
        <v>020 01 01</v>
      </c>
      <c r="G27" s="1194">
        <f>'Бюд.р.'!F12</f>
        <v>100</v>
      </c>
      <c r="H27" s="1195"/>
      <c r="I27" s="1309">
        <f>'Бюд.р.'!H12</f>
        <v>0</v>
      </c>
      <c r="J27" s="270"/>
      <c r="K27" s="260"/>
      <c r="L27" s="260"/>
      <c r="M27" s="294"/>
    </row>
    <row r="28" spans="1:13" ht="24" customHeight="1" hidden="1">
      <c r="A28" s="163"/>
      <c r="B28" s="1279" t="s">
        <v>393</v>
      </c>
      <c r="C28" s="2469" t="str">
        <f>'Бюд.р.'!A15</f>
        <v>Закупка товаров, работ и услуг  для государственных (муниципальных) нужд</v>
      </c>
      <c r="D28" s="1193">
        <v>917</v>
      </c>
      <c r="E28" s="1193" t="s">
        <v>1148</v>
      </c>
      <c r="F28" s="1193" t="str">
        <f>'Бюд.р.'!D16</f>
        <v>020 01 01 </v>
      </c>
      <c r="G28" s="1193">
        <f>'Бюд.р.'!F15</f>
        <v>200</v>
      </c>
      <c r="H28" s="1193"/>
      <c r="I28" s="1704">
        <f>'Бюд.р.'!H15</f>
        <v>0</v>
      </c>
      <c r="J28" s="270"/>
      <c r="K28" s="260"/>
      <c r="L28" s="260"/>
      <c r="M28" s="294"/>
    </row>
    <row r="29" spans="1:13" ht="24.75" customHeight="1" hidden="1">
      <c r="A29" s="163"/>
      <c r="B29" s="2471" t="s">
        <v>268</v>
      </c>
      <c r="C29" s="2470" t="str">
        <f>'Бюд.р.'!A26</f>
        <v>Повышение правовой культуры избирателей и обучение организаторов выборов</v>
      </c>
      <c r="D29" s="1188">
        <v>917</v>
      </c>
      <c r="E29" s="1189" t="s">
        <v>1148</v>
      </c>
      <c r="F29" s="1705" t="str">
        <f>'Бюд.р.'!D26</f>
        <v>020 01 03</v>
      </c>
      <c r="G29" s="1705"/>
      <c r="H29" s="1705"/>
      <c r="I29" s="1706">
        <f>I30</f>
        <v>0</v>
      </c>
      <c r="J29" s="270"/>
      <c r="K29" s="260"/>
      <c r="L29" s="260"/>
      <c r="M29" s="294"/>
    </row>
    <row r="30" spans="1:13" ht="22.5" customHeight="1" hidden="1">
      <c r="A30" s="163"/>
      <c r="B30" s="1279" t="s">
        <v>728</v>
      </c>
      <c r="C30" s="2469" t="str">
        <f>'Бюд.р.'!A27</f>
        <v>Закупка товаров, работ и услуг  для государственных (муниципальных) нужд</v>
      </c>
      <c r="D30" s="1193">
        <v>917</v>
      </c>
      <c r="E30" s="1193" t="s">
        <v>1148</v>
      </c>
      <c r="F30" s="1193" t="str">
        <f>'Бюд.р.'!D28</f>
        <v>020 01 03</v>
      </c>
      <c r="G30" s="1193">
        <f>'Бюд.р.'!F27</f>
        <v>200</v>
      </c>
      <c r="H30" s="1193"/>
      <c r="I30" s="1704">
        <f>'Бюд.р.'!H27</f>
        <v>0</v>
      </c>
      <c r="J30" s="270"/>
      <c r="K30" s="260"/>
      <c r="L30" s="260"/>
      <c r="M30" s="294"/>
    </row>
    <row r="31" spans="1:13" ht="23.25" customHeight="1" thickBot="1">
      <c r="A31" s="163"/>
      <c r="B31" s="1732"/>
      <c r="C31" s="1733" t="s">
        <v>92</v>
      </c>
      <c r="D31" s="1734" t="s">
        <v>93</v>
      </c>
      <c r="E31" s="1735"/>
      <c r="F31" s="1735"/>
      <c r="G31" s="1736"/>
      <c r="H31" s="1737"/>
      <c r="I31" s="1738">
        <f>I32</f>
        <v>4378</v>
      </c>
      <c r="J31" s="271" t="e">
        <f>J32+#REF!+#REF!+#REF!+#REF!+#REF!+#REF!+#REF!</f>
        <v>#REF!</v>
      </c>
      <c r="K31" s="263" t="e">
        <f>K32+#REF!+#REF!+#REF!+#REF!+#REF!+#REF!+#REF!</f>
        <v>#REF!</v>
      </c>
      <c r="L31" s="263" t="e">
        <f>L32+#REF!+#REF!+#REF!+#REF!+#REF!+#REF!+#REF!</f>
        <v>#REF!</v>
      </c>
      <c r="M31" s="295" t="e">
        <f>M32+#REF!+#REF!+#REF!+#REF!+#REF!+#REF!+#REF!</f>
        <v>#REF!</v>
      </c>
    </row>
    <row r="32" spans="1:13" ht="14.25" customHeight="1" thickBot="1">
      <c r="A32" s="163"/>
      <c r="B32" s="2594" t="s">
        <v>727</v>
      </c>
      <c r="C32" s="2595" t="s">
        <v>111</v>
      </c>
      <c r="D32" s="2596" t="s">
        <v>93</v>
      </c>
      <c r="E32" s="2597" t="s">
        <v>456</v>
      </c>
      <c r="F32" s="2597"/>
      <c r="G32" s="2598"/>
      <c r="H32" s="2599"/>
      <c r="I32" s="2600">
        <f>I33+I36+I56</f>
        <v>4378</v>
      </c>
      <c r="J32" s="279" t="e">
        <f>J33+J36+#REF!+#REF!</f>
        <v>#REF!</v>
      </c>
      <c r="K32" s="264" t="e">
        <f>K33+K36+#REF!+#REF!</f>
        <v>#REF!</v>
      </c>
      <c r="L32" s="264" t="e">
        <f>L33+L36+#REF!+#REF!</f>
        <v>#REF!</v>
      </c>
      <c r="M32" s="302" t="e">
        <f>M33+M36+#REF!+#REF!</f>
        <v>#REF!</v>
      </c>
    </row>
    <row r="33" spans="1:13" ht="37.5" customHeight="1">
      <c r="A33" s="163"/>
      <c r="B33" s="2601" t="s">
        <v>563</v>
      </c>
      <c r="C33" s="2602" t="s">
        <v>141</v>
      </c>
      <c r="D33" s="2603" t="s">
        <v>93</v>
      </c>
      <c r="E33" s="2604" t="s">
        <v>455</v>
      </c>
      <c r="F33" s="2604"/>
      <c r="G33" s="2605"/>
      <c r="H33" s="2606"/>
      <c r="I33" s="2607">
        <f>I34</f>
        <v>1117.234</v>
      </c>
      <c r="J33" s="272">
        <f aca="true" t="shared" si="0" ref="J33:M34">J34</f>
        <v>164.7</v>
      </c>
      <c r="K33" s="123">
        <f t="shared" si="0"/>
        <v>164.8</v>
      </c>
      <c r="L33" s="123">
        <f t="shared" si="0"/>
        <v>164.7</v>
      </c>
      <c r="M33" s="296">
        <f t="shared" si="0"/>
        <v>164.7</v>
      </c>
    </row>
    <row r="34" spans="1:13" ht="14.25" customHeight="1">
      <c r="A34" s="164" t="s">
        <v>280</v>
      </c>
      <c r="B34" s="1280" t="s">
        <v>198</v>
      </c>
      <c r="C34" s="1323" t="str">
        <f>'Бюд.р.'!A60</f>
        <v>ГЛАВА МУНИЦИПАЛЬНОГО ОБРАЗОВАНИЯ</v>
      </c>
      <c r="D34" s="1226" t="s">
        <v>93</v>
      </c>
      <c r="E34" s="1227" t="s">
        <v>455</v>
      </c>
      <c r="F34" s="1227" t="s">
        <v>459</v>
      </c>
      <c r="G34" s="1228"/>
      <c r="H34" s="1239"/>
      <c r="I34" s="1315">
        <f>I35</f>
        <v>1117.234</v>
      </c>
      <c r="J34" s="273">
        <f t="shared" si="0"/>
        <v>164.7</v>
      </c>
      <c r="K34" s="157">
        <f t="shared" si="0"/>
        <v>164.8</v>
      </c>
      <c r="L34" s="157">
        <f t="shared" si="0"/>
        <v>164.7</v>
      </c>
      <c r="M34" s="297">
        <f t="shared" si="0"/>
        <v>164.7</v>
      </c>
    </row>
    <row r="35" spans="1:13" ht="45.75" customHeight="1">
      <c r="A35" s="165" t="s">
        <v>198</v>
      </c>
      <c r="B35" s="1279" t="s">
        <v>201</v>
      </c>
      <c r="C35" s="1234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5" s="1192" t="s">
        <v>93</v>
      </c>
      <c r="E35" s="1193" t="s">
        <v>455</v>
      </c>
      <c r="F35" s="1193" t="s">
        <v>459</v>
      </c>
      <c r="G35" s="1194">
        <f>'Бюд.р.'!F61</f>
        <v>100</v>
      </c>
      <c r="H35" s="1195"/>
      <c r="I35" s="1309">
        <f>'Бюд.р.'!H61</f>
        <v>1117.234</v>
      </c>
      <c r="J35" s="274">
        <v>164.7</v>
      </c>
      <c r="K35" s="160">
        <v>164.8</v>
      </c>
      <c r="L35" s="160">
        <v>164.7</v>
      </c>
      <c r="M35" s="298">
        <v>164.7</v>
      </c>
    </row>
    <row r="36" spans="1:13" ht="52.5" customHeight="1">
      <c r="A36" s="163"/>
      <c r="B36" s="2601" t="s">
        <v>1283</v>
      </c>
      <c r="C36" s="2608" t="s">
        <v>921</v>
      </c>
      <c r="D36" s="2609" t="s">
        <v>93</v>
      </c>
      <c r="E36" s="2242" t="s">
        <v>473</v>
      </c>
      <c r="F36" s="2242"/>
      <c r="G36" s="2610"/>
      <c r="H36" s="2611"/>
      <c r="I36" s="2243">
        <f>I37+I52</f>
        <v>3260.7660000000005</v>
      </c>
      <c r="J36" s="272" t="e">
        <f>#REF!+J37</f>
        <v>#REF!</v>
      </c>
      <c r="K36" s="123" t="e">
        <f>#REF!+K37</f>
        <v>#REF!</v>
      </c>
      <c r="L36" s="123" t="e">
        <f>#REF!+L37</f>
        <v>#REF!</v>
      </c>
      <c r="M36" s="296" t="e">
        <f>#REF!+M37</f>
        <v>#REF!</v>
      </c>
    </row>
    <row r="37" spans="1:13" ht="28.5" customHeight="1">
      <c r="A37" s="164"/>
      <c r="B37" s="1280" t="s">
        <v>728</v>
      </c>
      <c r="C37" s="1327" t="s">
        <v>477</v>
      </c>
      <c r="D37" s="1254">
        <v>925</v>
      </c>
      <c r="E37" s="1745" t="s">
        <v>473</v>
      </c>
      <c r="F37" s="1363" t="s">
        <v>56</v>
      </c>
      <c r="G37" s="1358"/>
      <c r="H37" s="1239"/>
      <c r="I37" s="1315">
        <f>I38+I40</f>
        <v>1225.2400000000002</v>
      </c>
      <c r="J37" s="273">
        <f>J38+J40</f>
        <v>175.2</v>
      </c>
      <c r="K37" s="157">
        <f>K38+K40</f>
        <v>175</v>
      </c>
      <c r="L37" s="157">
        <f>L38+L40</f>
        <v>175.10000000000002</v>
      </c>
      <c r="M37" s="297">
        <f>M38+M40</f>
        <v>175</v>
      </c>
    </row>
    <row r="38" spans="1:13" ht="25.5" customHeight="1">
      <c r="A38" s="164"/>
      <c r="B38" s="1280" t="s">
        <v>1212</v>
      </c>
      <c r="C38" s="1327" t="str">
        <f>'Бюд.р.'!A68</f>
        <v>ДЕПУТАТЫ, ОСУЩЕСТВЛЯЮЩИЕ СВОЮ ДЕЯТЕЛЬНОСТЬ НА ПОСТОЯННОЙ ОСНОВЕ</v>
      </c>
      <c r="D38" s="1254">
        <v>925</v>
      </c>
      <c r="E38" s="1745" t="s">
        <v>473</v>
      </c>
      <c r="F38" s="1230" t="s">
        <v>58</v>
      </c>
      <c r="G38" s="2633"/>
      <c r="H38" s="1239"/>
      <c r="I38" s="1315">
        <f>I39</f>
        <v>960.6400000000001</v>
      </c>
      <c r="J38" s="273">
        <f>J39</f>
        <v>138.4</v>
      </c>
      <c r="K38" s="157">
        <f>K39</f>
        <v>138.3</v>
      </c>
      <c r="L38" s="157">
        <f>L39</f>
        <v>138.4</v>
      </c>
      <c r="M38" s="297">
        <f>M39</f>
        <v>138.3</v>
      </c>
    </row>
    <row r="39" spans="1:13" ht="46.5" customHeight="1">
      <c r="A39" s="164"/>
      <c r="B39" s="1279" t="s">
        <v>201</v>
      </c>
      <c r="C39" s="1234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9" s="1352">
        <v>925</v>
      </c>
      <c r="E39" s="1664" t="s">
        <v>473</v>
      </c>
      <c r="F39" s="1215" t="s">
        <v>58</v>
      </c>
      <c r="G39" s="1353">
        <f>'Бюд.р.'!F69</f>
        <v>100</v>
      </c>
      <c r="H39" s="1216"/>
      <c r="I39" s="1313">
        <f>'Бюд.р.'!H69</f>
        <v>960.6400000000001</v>
      </c>
      <c r="J39" s="274">
        <v>138.4</v>
      </c>
      <c r="K39" s="160">
        <v>138.3</v>
      </c>
      <c r="L39" s="160">
        <v>138.4</v>
      </c>
      <c r="M39" s="298">
        <v>138.3</v>
      </c>
    </row>
    <row r="40" spans="1:13" ht="25.5" customHeight="1">
      <c r="A40" s="165" t="s">
        <v>97</v>
      </c>
      <c r="B40" s="1280" t="s">
        <v>1213</v>
      </c>
      <c r="C40" s="1327" t="str">
        <f>'Бюд.р.'!A77</f>
        <v>КОМПЕСАЦИЯ  ДЕПУТАТАМ, ОСУЩЕСТВЛЯЮЩИМ СВОИ ПОЛНОМОЧИЯ НА НЕПОСТОЯННОЙ ОСНОВЕ</v>
      </c>
      <c r="D40" s="1254">
        <v>925</v>
      </c>
      <c r="E40" s="1745" t="s">
        <v>473</v>
      </c>
      <c r="F40" s="1230" t="s">
        <v>60</v>
      </c>
      <c r="G40" s="1358"/>
      <c r="H40" s="1239"/>
      <c r="I40" s="1315">
        <f>I46</f>
        <v>264.6</v>
      </c>
      <c r="J40" s="273">
        <f>J46</f>
        <v>36.8</v>
      </c>
      <c r="K40" s="157">
        <f>K46</f>
        <v>36.7</v>
      </c>
      <c r="L40" s="157">
        <f>L46</f>
        <v>36.7</v>
      </c>
      <c r="M40" s="297">
        <f>M46</f>
        <v>36.7</v>
      </c>
    </row>
    <row r="41" spans="1:13" ht="25.5" hidden="1">
      <c r="A41" s="166" t="s">
        <v>204</v>
      </c>
      <c r="B41" s="1282"/>
      <c r="C41" s="1330" t="s">
        <v>426</v>
      </c>
      <c r="D41" s="1354">
        <v>968</v>
      </c>
      <c r="E41" s="1663" t="s">
        <v>473</v>
      </c>
      <c r="F41" s="856" t="s">
        <v>60</v>
      </c>
      <c r="G41" s="1355">
        <v>500</v>
      </c>
      <c r="H41" s="1202" t="s">
        <v>276</v>
      </c>
      <c r="I41" s="1310"/>
      <c r="J41" s="274"/>
      <c r="K41" s="160"/>
      <c r="L41" s="160"/>
      <c r="M41" s="298"/>
    </row>
    <row r="42" spans="1:13" ht="12.75" hidden="1">
      <c r="A42" s="167" t="s">
        <v>206</v>
      </c>
      <c r="B42" s="1279"/>
      <c r="C42" s="1324" t="s">
        <v>291</v>
      </c>
      <c r="D42" s="1199"/>
      <c r="E42" s="1663" t="s">
        <v>473</v>
      </c>
      <c r="F42" s="1200" t="s">
        <v>113</v>
      </c>
      <c r="G42" s="1201" t="s">
        <v>273</v>
      </c>
      <c r="H42" s="1202" t="s">
        <v>279</v>
      </c>
      <c r="I42" s="1310"/>
      <c r="J42" s="274"/>
      <c r="K42" s="160"/>
      <c r="L42" s="160"/>
      <c r="M42" s="298"/>
    </row>
    <row r="43" spans="1:13" ht="12.75" hidden="1">
      <c r="A43" s="167" t="s">
        <v>201</v>
      </c>
      <c r="B43" s="1279"/>
      <c r="C43" s="1325" t="s">
        <v>114</v>
      </c>
      <c r="D43" s="1203"/>
      <c r="E43" s="1663" t="s">
        <v>473</v>
      </c>
      <c r="F43" s="1204" t="s">
        <v>113</v>
      </c>
      <c r="G43" s="1205" t="s">
        <v>273</v>
      </c>
      <c r="H43" s="1206" t="s">
        <v>286</v>
      </c>
      <c r="I43" s="1310"/>
      <c r="J43" s="274"/>
      <c r="K43" s="160"/>
      <c r="L43" s="160"/>
      <c r="M43" s="298"/>
    </row>
    <row r="44" spans="1:13" ht="12.75" hidden="1">
      <c r="A44" s="167" t="s">
        <v>202</v>
      </c>
      <c r="B44" s="1279"/>
      <c r="C44" s="1325" t="s">
        <v>117</v>
      </c>
      <c r="D44" s="1203"/>
      <c r="E44" s="1663" t="s">
        <v>473</v>
      </c>
      <c r="F44" s="1204" t="s">
        <v>269</v>
      </c>
      <c r="G44" s="1205" t="s">
        <v>273</v>
      </c>
      <c r="H44" s="1206" t="s">
        <v>449</v>
      </c>
      <c r="I44" s="1310"/>
      <c r="J44" s="274"/>
      <c r="K44" s="160"/>
      <c r="L44" s="160"/>
      <c r="M44" s="298"/>
    </row>
    <row r="45" spans="1:13" ht="12.75" hidden="1">
      <c r="A45" s="167" t="s">
        <v>207</v>
      </c>
      <c r="B45" s="1279"/>
      <c r="C45" s="1325" t="s">
        <v>115</v>
      </c>
      <c r="D45" s="1203"/>
      <c r="E45" s="1663" t="s">
        <v>473</v>
      </c>
      <c r="F45" s="1204" t="s">
        <v>113</v>
      </c>
      <c r="G45" s="1205" t="s">
        <v>273</v>
      </c>
      <c r="H45" s="1206" t="s">
        <v>287</v>
      </c>
      <c r="I45" s="1310"/>
      <c r="J45" s="274"/>
      <c r="K45" s="160"/>
      <c r="L45" s="160"/>
      <c r="M45" s="298"/>
    </row>
    <row r="46" spans="1:13" ht="48.75" customHeight="1">
      <c r="A46" s="165" t="s">
        <v>316</v>
      </c>
      <c r="B46" s="1279" t="s">
        <v>201</v>
      </c>
      <c r="C46" s="1334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6" s="1352">
        <v>925</v>
      </c>
      <c r="E46" s="1665" t="s">
        <v>473</v>
      </c>
      <c r="F46" s="1215" t="s">
        <v>60</v>
      </c>
      <c r="G46" s="1353">
        <f>'Бюд.р.'!F78</f>
        <v>100</v>
      </c>
      <c r="H46" s="1217"/>
      <c r="I46" s="1313">
        <f>'Бюд.р.'!H78</f>
        <v>264.6</v>
      </c>
      <c r="J46" s="274">
        <v>36.8</v>
      </c>
      <c r="K46" s="160">
        <v>36.7</v>
      </c>
      <c r="L46" s="160">
        <v>36.7</v>
      </c>
      <c r="M46" s="298">
        <v>36.7</v>
      </c>
    </row>
    <row r="47" spans="1:13" ht="24" hidden="1">
      <c r="A47" s="168" t="s">
        <v>205</v>
      </c>
      <c r="B47" s="1280"/>
      <c r="C47" s="1332" t="s">
        <v>275</v>
      </c>
      <c r="D47" s="1188"/>
      <c r="E47" s="1663" t="s">
        <v>473</v>
      </c>
      <c r="F47" s="1196" t="s">
        <v>113</v>
      </c>
      <c r="G47" s="1197" t="s">
        <v>724</v>
      </c>
      <c r="H47" s="1198" t="s">
        <v>276</v>
      </c>
      <c r="I47" s="1310"/>
      <c r="J47" s="275"/>
      <c r="K47" s="205"/>
      <c r="L47" s="205"/>
      <c r="M47" s="265"/>
    </row>
    <row r="48" spans="1:13" ht="12.75" hidden="1">
      <c r="A48" s="169" t="s">
        <v>206</v>
      </c>
      <c r="B48" s="1279"/>
      <c r="C48" s="1333" t="s">
        <v>291</v>
      </c>
      <c r="D48" s="1218"/>
      <c r="E48" s="1663" t="s">
        <v>473</v>
      </c>
      <c r="F48" s="1219" t="s">
        <v>113</v>
      </c>
      <c r="G48" s="1220" t="s">
        <v>724</v>
      </c>
      <c r="H48" s="1221" t="s">
        <v>279</v>
      </c>
      <c r="I48" s="1310"/>
      <c r="J48" s="275"/>
      <c r="K48" s="205"/>
      <c r="L48" s="205"/>
      <c r="M48" s="265"/>
    </row>
    <row r="49" spans="1:13" ht="12.75" hidden="1">
      <c r="A49" s="170" t="s">
        <v>201</v>
      </c>
      <c r="B49" s="1283"/>
      <c r="C49" s="1325" t="s">
        <v>114</v>
      </c>
      <c r="D49" s="1203"/>
      <c r="E49" s="1663" t="s">
        <v>473</v>
      </c>
      <c r="F49" s="1204" t="s">
        <v>113</v>
      </c>
      <c r="G49" s="1205" t="s">
        <v>724</v>
      </c>
      <c r="H49" s="1206" t="s">
        <v>286</v>
      </c>
      <c r="I49" s="1310"/>
      <c r="J49" s="275"/>
      <c r="K49" s="205"/>
      <c r="L49" s="205"/>
      <c r="M49" s="265"/>
    </row>
    <row r="50" spans="1:13" ht="12.75" hidden="1">
      <c r="A50" s="170" t="s">
        <v>207</v>
      </c>
      <c r="B50" s="1283"/>
      <c r="C50" s="1325" t="s">
        <v>118</v>
      </c>
      <c r="D50" s="1203"/>
      <c r="E50" s="1663" t="s">
        <v>473</v>
      </c>
      <c r="F50" s="1204" t="s">
        <v>113</v>
      </c>
      <c r="G50" s="1205" t="s">
        <v>724</v>
      </c>
      <c r="H50" s="1206" t="s">
        <v>287</v>
      </c>
      <c r="I50" s="1310"/>
      <c r="J50" s="275"/>
      <c r="K50" s="205"/>
      <c r="L50" s="205"/>
      <c r="M50" s="265"/>
    </row>
    <row r="51" spans="1:13" ht="51.75" customHeight="1" hidden="1" thickBot="1">
      <c r="A51" s="171" t="s">
        <v>263</v>
      </c>
      <c r="B51" s="1281"/>
      <c r="C51" s="1326" t="s">
        <v>480</v>
      </c>
      <c r="D51" s="1207"/>
      <c r="E51" s="1663" t="s">
        <v>473</v>
      </c>
      <c r="F51" s="1208"/>
      <c r="G51" s="1209"/>
      <c r="H51" s="1210"/>
      <c r="I51" s="1310"/>
      <c r="J51" s="275"/>
      <c r="K51" s="205"/>
      <c r="L51" s="205"/>
      <c r="M51" s="265"/>
    </row>
    <row r="52" spans="1:13" ht="24.75" customHeight="1">
      <c r="A52" s="171"/>
      <c r="B52" s="1280" t="s">
        <v>1325</v>
      </c>
      <c r="C52" s="1327" t="str">
        <f>'Бюд.р.'!A82</f>
        <v>АППАРАТ ПРЕДСТАВИТЕЛЬНОГО ОРГАНА МУНИЦИПАЛЬНОГО ОБРАЗОВАНИЯ</v>
      </c>
      <c r="D52" s="1254">
        <v>925</v>
      </c>
      <c r="E52" s="1745" t="s">
        <v>473</v>
      </c>
      <c r="F52" s="1230" t="s">
        <v>474</v>
      </c>
      <c r="G52" s="1358"/>
      <c r="H52" s="1239"/>
      <c r="I52" s="1315">
        <f>SUM(I53:I55)</f>
        <v>2035.5260000000003</v>
      </c>
      <c r="J52" s="275"/>
      <c r="K52" s="205"/>
      <c r="L52" s="205"/>
      <c r="M52" s="265"/>
    </row>
    <row r="53" spans="1:13" ht="45" customHeight="1">
      <c r="A53" s="171"/>
      <c r="B53" s="1279" t="s">
        <v>201</v>
      </c>
      <c r="C53" s="1234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3" s="1356">
        <v>925</v>
      </c>
      <c r="E53" s="1665" t="s">
        <v>473</v>
      </c>
      <c r="F53" s="1222" t="str">
        <f>'Бюд.р.'!D84</f>
        <v>002  04 00</v>
      </c>
      <c r="G53" s="1357">
        <f>'Бюд.р.'!F83</f>
        <v>100</v>
      </c>
      <c r="H53" s="1223"/>
      <c r="I53" s="1277">
        <f>'Бюд.р.'!H83</f>
        <v>817.6780000000001</v>
      </c>
      <c r="J53" s="275"/>
      <c r="K53" s="205"/>
      <c r="L53" s="205"/>
      <c r="M53" s="265"/>
    </row>
    <row r="54" spans="1:13" ht="25.5" customHeight="1">
      <c r="A54" s="171"/>
      <c r="B54" s="1279" t="s">
        <v>202</v>
      </c>
      <c r="C54" s="1334" t="str">
        <f>'Бюд.р.'!A89</f>
        <v>Закупка товаров, работ и услуг  для государственных (муниципальных) нужд</v>
      </c>
      <c r="D54" s="1356">
        <v>925</v>
      </c>
      <c r="E54" s="1665" t="s">
        <v>473</v>
      </c>
      <c r="F54" s="1222" t="str">
        <f>'Бюд.р.'!D90</f>
        <v>002 04 00</v>
      </c>
      <c r="G54" s="1357">
        <f>'Бюд.р.'!F89</f>
        <v>200</v>
      </c>
      <c r="H54" s="1223"/>
      <c r="I54" s="1277">
        <f>'Бюд.р.'!H89</f>
        <v>1214.6490000000001</v>
      </c>
      <c r="J54" s="275"/>
      <c r="K54" s="205"/>
      <c r="L54" s="205"/>
      <c r="M54" s="265"/>
    </row>
    <row r="55" spans="1:13" ht="15.75" customHeight="1" thickBot="1">
      <c r="A55" s="171"/>
      <c r="B55" s="1279" t="s">
        <v>1326</v>
      </c>
      <c r="C55" s="1339" t="str">
        <f>'Бюд.р.'!A99</f>
        <v>Иные бюджетные ассигнования</v>
      </c>
      <c r="D55" s="1356">
        <v>925</v>
      </c>
      <c r="E55" s="2253" t="s">
        <v>473</v>
      </c>
      <c r="F55" s="1222" t="s">
        <v>474</v>
      </c>
      <c r="G55" s="1357">
        <f>'Бюд.р.'!F99</f>
        <v>800</v>
      </c>
      <c r="H55" s="1223"/>
      <c r="I55" s="1277">
        <f>'Бюд.р.'!H99</f>
        <v>3.199</v>
      </c>
      <c r="J55" s="275"/>
      <c r="K55" s="205"/>
      <c r="L55" s="205"/>
      <c r="M55" s="265"/>
    </row>
    <row r="56" spans="1:13" ht="20.25" customHeight="1" hidden="1">
      <c r="A56" s="171"/>
      <c r="B56" s="2601" t="s">
        <v>1340</v>
      </c>
      <c r="C56" s="2613" t="str">
        <f>'Бюд.р.'!A103</f>
        <v>Другие общегосударственные вопросы</v>
      </c>
      <c r="D56" s="2609">
        <v>968</v>
      </c>
      <c r="E56" s="2612" t="s">
        <v>925</v>
      </c>
      <c r="F56" s="2242"/>
      <c r="G56" s="2610"/>
      <c r="H56" s="2611"/>
      <c r="I56" s="2243">
        <f>I57</f>
        <v>0</v>
      </c>
      <c r="J56" s="275"/>
      <c r="K56" s="205"/>
      <c r="L56" s="205"/>
      <c r="M56" s="265"/>
    </row>
    <row r="57" spans="1:13" ht="41.25" customHeight="1" hidden="1">
      <c r="A57" s="171"/>
      <c r="B57" s="1280" t="s">
        <v>442</v>
      </c>
      <c r="C57" s="1327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57" s="1254">
        <v>968</v>
      </c>
      <c r="E57" s="1227" t="s">
        <v>925</v>
      </c>
      <c r="F57" s="1230" t="str">
        <f>F58</f>
        <v>092 05 00</v>
      </c>
      <c r="G57" s="1194"/>
      <c r="H57" s="1195"/>
      <c r="I57" s="1315">
        <f>I58</f>
        <v>0</v>
      </c>
      <c r="J57" s="275"/>
      <c r="K57" s="205"/>
      <c r="L57" s="205"/>
      <c r="M57" s="265"/>
    </row>
    <row r="58" spans="1:13" ht="16.5" customHeight="1" hidden="1" thickBot="1">
      <c r="A58" s="171"/>
      <c r="B58" s="1279" t="s">
        <v>201</v>
      </c>
      <c r="C58" s="1334" t="str">
        <f>'Бюд.р.'!A105</f>
        <v>Иные бюджетные ассигнования</v>
      </c>
      <c r="D58" s="1192" t="s">
        <v>631</v>
      </c>
      <c r="E58" s="1193" t="s">
        <v>925</v>
      </c>
      <c r="F58" s="1193" t="str">
        <f>'Бюд.р.'!D105</f>
        <v>092 05 00</v>
      </c>
      <c r="G58" s="1194">
        <f>'Бюд.р.'!F105</f>
        <v>800</v>
      </c>
      <c r="H58" s="1195"/>
      <c r="I58" s="1309">
        <f>'Бюд.р.'!H105</f>
        <v>0</v>
      </c>
      <c r="J58" s="275"/>
      <c r="K58" s="205"/>
      <c r="L58" s="205"/>
      <c r="M58" s="265"/>
    </row>
    <row r="59" spans="1:13" ht="27.75" customHeight="1" thickBot="1">
      <c r="A59" s="171"/>
      <c r="B59" s="1968"/>
      <c r="C59" s="1739" t="s">
        <v>457</v>
      </c>
      <c r="D59" s="1740" t="s">
        <v>631</v>
      </c>
      <c r="E59" s="1741"/>
      <c r="F59" s="1741"/>
      <c r="G59" s="1742"/>
      <c r="H59" s="1743"/>
      <c r="I59" s="1744">
        <f>I60+I89+I95+I102+I132+I154+I163+I175+I179</f>
        <v>120622</v>
      </c>
      <c r="J59" s="275"/>
      <c r="K59" s="205"/>
      <c r="L59" s="205"/>
      <c r="M59" s="265"/>
    </row>
    <row r="60" spans="1:13" ht="22.5" customHeight="1" thickBot="1">
      <c r="A60" s="171"/>
      <c r="B60" s="2594" t="s">
        <v>727</v>
      </c>
      <c r="C60" s="2595" t="s">
        <v>111</v>
      </c>
      <c r="D60" s="2596">
        <v>968</v>
      </c>
      <c r="E60" s="2597" t="s">
        <v>456</v>
      </c>
      <c r="F60" s="2597"/>
      <c r="G60" s="2598"/>
      <c r="H60" s="2599"/>
      <c r="I60" s="2600">
        <f>I61+I71+I74</f>
        <v>29139.895</v>
      </c>
      <c r="J60" s="275"/>
      <c r="K60" s="205"/>
      <c r="L60" s="205"/>
      <c r="M60" s="265"/>
    </row>
    <row r="61" spans="1:13" ht="52.5" customHeight="1">
      <c r="A61" s="171"/>
      <c r="B61" s="2601" t="s">
        <v>563</v>
      </c>
      <c r="C61" s="2608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61" s="2609">
        <v>968</v>
      </c>
      <c r="E61" s="2612" t="s">
        <v>475</v>
      </c>
      <c r="F61" s="2242"/>
      <c r="G61" s="2610"/>
      <c r="H61" s="2611"/>
      <c r="I61" s="2243">
        <f>I62+I64+I69</f>
        <v>26584.389</v>
      </c>
      <c r="J61" s="275"/>
      <c r="K61" s="205"/>
      <c r="L61" s="205"/>
      <c r="M61" s="265"/>
    </row>
    <row r="62" spans="1:13" ht="16.5" customHeight="1">
      <c r="A62" s="171"/>
      <c r="B62" s="1280" t="s">
        <v>198</v>
      </c>
      <c r="C62" s="1323" t="str">
        <f>'Бюд.р.'!A151</f>
        <v>ГЛАВА МЕСТНОЙ АДМИНИСТРАЦИИ</v>
      </c>
      <c r="D62" s="1226" t="s">
        <v>631</v>
      </c>
      <c r="E62" s="1227" t="s">
        <v>475</v>
      </c>
      <c r="F62" s="1227" t="s">
        <v>476</v>
      </c>
      <c r="G62" s="1228"/>
      <c r="H62" s="1239"/>
      <c r="I62" s="1315">
        <f>I63</f>
        <v>1117.234</v>
      </c>
      <c r="J62" s="272"/>
      <c r="K62" s="123"/>
      <c r="L62" s="123"/>
      <c r="M62" s="296"/>
    </row>
    <row r="63" spans="1:13" ht="46.5" customHeight="1">
      <c r="A63" s="171"/>
      <c r="B63" s="1279" t="s">
        <v>201</v>
      </c>
      <c r="C63" s="1234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3" s="1192" t="s">
        <v>631</v>
      </c>
      <c r="E63" s="1193" t="s">
        <v>475</v>
      </c>
      <c r="F63" s="1193" t="s">
        <v>476</v>
      </c>
      <c r="G63" s="1194">
        <f>'Бюд.р.'!F152</f>
        <v>100</v>
      </c>
      <c r="H63" s="1225"/>
      <c r="I63" s="1313">
        <f>'Бюд.р.'!H152</f>
        <v>1117.234</v>
      </c>
      <c r="J63" s="272"/>
      <c r="K63" s="123"/>
      <c r="L63" s="123"/>
      <c r="M63" s="296"/>
    </row>
    <row r="64" spans="1:13" ht="33.75" customHeight="1">
      <c r="A64" s="164" t="s">
        <v>270</v>
      </c>
      <c r="B64" s="1280" t="s">
        <v>393</v>
      </c>
      <c r="C64" s="1323" t="str">
        <f>'Бюд.р.'!A158</f>
        <v>СОДЕРЖАНИЕ И ОБЕСПЕЧЕНИЕ ДЕЯТЕЛЬНОСТИ МЕСТНОЙ АДМИНИСТРАЦИИ ПО РЕШЕНИЮ ВОПРОСОВ МЕСТНОГО ЗНАЧЕНИЯ</v>
      </c>
      <c r="D64" s="1226" t="s">
        <v>631</v>
      </c>
      <c r="E64" s="1227" t="s">
        <v>475</v>
      </c>
      <c r="F64" s="1227" t="s">
        <v>63</v>
      </c>
      <c r="G64" s="1228"/>
      <c r="H64" s="1195"/>
      <c r="I64" s="1315">
        <f>'Бюд.р.'!H158</f>
        <v>25461.555</v>
      </c>
      <c r="J64" s="273">
        <f>SUM(J65:J65)</f>
        <v>2691.8</v>
      </c>
      <c r="K64" s="157">
        <f>SUM(K65:K65)</f>
        <v>2768.6</v>
      </c>
      <c r="L64" s="157">
        <f>SUM(L65:L65)</f>
        <v>4207.1</v>
      </c>
      <c r="M64" s="297">
        <f>SUM(M65:M65)</f>
        <v>2727.5</v>
      </c>
    </row>
    <row r="65" spans="1:13" ht="45" customHeight="1">
      <c r="A65" s="164"/>
      <c r="B65" s="1279" t="s">
        <v>201</v>
      </c>
      <c r="C65" s="1234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5" s="1352">
        <v>968</v>
      </c>
      <c r="E65" s="1193" t="s">
        <v>475</v>
      </c>
      <c r="F65" s="1215" t="s">
        <v>63</v>
      </c>
      <c r="G65" s="1353">
        <f>'Бюд.р.'!F159</f>
        <v>100</v>
      </c>
      <c r="H65" s="1229"/>
      <c r="I65" s="1313">
        <f>'Бюд.р.'!H159</f>
        <v>19630.689</v>
      </c>
      <c r="J65" s="274">
        <v>2691.8</v>
      </c>
      <c r="K65" s="160">
        <v>2768.6</v>
      </c>
      <c r="L65" s="160">
        <v>4207.1</v>
      </c>
      <c r="M65" s="298">
        <v>2727.5</v>
      </c>
    </row>
    <row r="66" spans="1:13" ht="12.75" customHeight="1">
      <c r="A66" s="164"/>
      <c r="B66" s="1279" t="s">
        <v>202</v>
      </c>
      <c r="C66" s="1334" t="str">
        <f>'Бюд.р.'!A165</f>
        <v>Закупка товаров, работ и услуг  для государственных (муниципальных) нужд</v>
      </c>
      <c r="D66" s="1352">
        <v>968</v>
      </c>
      <c r="E66" s="1193" t="s">
        <v>475</v>
      </c>
      <c r="F66" s="1215" t="s">
        <v>63</v>
      </c>
      <c r="G66" s="1353">
        <f>'Бюд.р.'!F165</f>
        <v>200</v>
      </c>
      <c r="H66" s="1229"/>
      <c r="I66" s="1313">
        <f>'Бюд.р.'!H165</f>
        <v>5743.199</v>
      </c>
      <c r="J66" s="274"/>
      <c r="K66" s="160"/>
      <c r="L66" s="160"/>
      <c r="M66" s="298"/>
    </row>
    <row r="67" spans="1:13" ht="12.75" customHeight="1">
      <c r="A67" s="164"/>
      <c r="B67" s="1279" t="s">
        <v>1326</v>
      </c>
      <c r="C67" s="1334" t="str">
        <f>'Бюд.р.'!A187</f>
        <v>Социальное обеспечение и иные выплаты населению</v>
      </c>
      <c r="D67" s="1352">
        <v>968</v>
      </c>
      <c r="E67" s="2101" t="s">
        <v>475</v>
      </c>
      <c r="F67" s="1215" t="s">
        <v>63</v>
      </c>
      <c r="G67" s="1353">
        <f>'Бюд.р.'!F187</f>
        <v>300</v>
      </c>
      <c r="H67" s="1229"/>
      <c r="I67" s="1313">
        <f>'Бюд.р.'!H187</f>
        <v>57.067</v>
      </c>
      <c r="J67" s="274"/>
      <c r="K67" s="160"/>
      <c r="L67" s="160"/>
      <c r="M67" s="298"/>
    </row>
    <row r="68" spans="1:13" ht="12.75" customHeight="1">
      <c r="A68" s="164"/>
      <c r="B68" s="1279" t="s">
        <v>208</v>
      </c>
      <c r="C68" s="1334" t="str">
        <f>'Бюд.р.'!A201</f>
        <v>Иные бюджетные ассигнования</v>
      </c>
      <c r="D68" s="1352">
        <v>968</v>
      </c>
      <c r="E68" s="1193" t="s">
        <v>475</v>
      </c>
      <c r="F68" s="1215" t="s">
        <v>63</v>
      </c>
      <c r="G68" s="1353">
        <f>'Бюд.р.'!F201</f>
        <v>800</v>
      </c>
      <c r="H68" s="1229"/>
      <c r="I68" s="1313">
        <f>'Бюд.р.'!H201</f>
        <v>30.6</v>
      </c>
      <c r="J68" s="274"/>
      <c r="K68" s="160"/>
      <c r="L68" s="160"/>
      <c r="M68" s="298"/>
    </row>
    <row r="69" spans="1:13" ht="34.5" customHeight="1">
      <c r="A69" s="164"/>
      <c r="B69" s="1284" t="s">
        <v>1052</v>
      </c>
      <c r="C69" s="1328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69" s="1364">
        <v>968</v>
      </c>
      <c r="E69" s="1629" t="s">
        <v>475</v>
      </c>
      <c r="F69" s="1365" t="str">
        <f>'Бюд.р.'!D208</f>
        <v>002  80 10</v>
      </c>
      <c r="G69" s="2634"/>
      <c r="H69" s="1229"/>
      <c r="I69" s="1316">
        <f>I70</f>
        <v>5.6</v>
      </c>
      <c r="J69" s="274"/>
      <c r="K69" s="160"/>
      <c r="L69" s="160"/>
      <c r="M69" s="298"/>
    </row>
    <row r="70" spans="1:13" ht="25.5" customHeight="1">
      <c r="A70" s="165" t="s">
        <v>211</v>
      </c>
      <c r="B70" s="1279" t="s">
        <v>201</v>
      </c>
      <c r="C70" s="1334" t="str">
        <f>'Бюд.р.'!A209</f>
        <v>Закупка товаров, работ и услуг  для государственных (муниципальных) нужд</v>
      </c>
      <c r="D70" s="1352">
        <v>968</v>
      </c>
      <c r="E70" s="1193" t="s">
        <v>475</v>
      </c>
      <c r="F70" s="1215" t="str">
        <f>'Бюд.р.'!D210</f>
        <v>002  80 10</v>
      </c>
      <c r="G70" s="1353">
        <f>'Бюд.р.'!F209</f>
        <v>200</v>
      </c>
      <c r="H70" s="1229"/>
      <c r="I70" s="1313">
        <f>'Бюд.р.'!H209</f>
        <v>5.6</v>
      </c>
      <c r="J70" s="273" t="e">
        <f>#REF!</f>
        <v>#REF!</v>
      </c>
      <c r="K70" s="157" t="e">
        <f>#REF!</f>
        <v>#REF!</v>
      </c>
      <c r="L70" s="157" t="e">
        <f>#REF!</f>
        <v>#REF!</v>
      </c>
      <c r="M70" s="297" t="e">
        <f>#REF!</f>
        <v>#REF!</v>
      </c>
    </row>
    <row r="71" spans="1:13" ht="21" customHeight="1">
      <c r="A71" s="165"/>
      <c r="B71" s="2601" t="s">
        <v>268</v>
      </c>
      <c r="C71" s="2613" t="str">
        <f>'Бюд.р.'!A220</f>
        <v>Резервные фонды</v>
      </c>
      <c r="D71" s="2609">
        <v>968</v>
      </c>
      <c r="E71" s="2612" t="s">
        <v>1267</v>
      </c>
      <c r="F71" s="2242"/>
      <c r="G71" s="2610"/>
      <c r="H71" s="2611"/>
      <c r="I71" s="2243">
        <f>I72</f>
        <v>1279.516</v>
      </c>
      <c r="J71" s="273"/>
      <c r="K71" s="157"/>
      <c r="L71" s="157"/>
      <c r="M71" s="297"/>
    </row>
    <row r="72" spans="1:13" ht="12.75">
      <c r="A72" s="169" t="s">
        <v>430</v>
      </c>
      <c r="B72" s="1278" t="s">
        <v>728</v>
      </c>
      <c r="C72" s="1330" t="str">
        <f>'Бюд.р.'!A221</f>
        <v>Резервный фонд местной администрации</v>
      </c>
      <c r="D72" s="1235">
        <v>968</v>
      </c>
      <c r="E72" s="2250" t="s">
        <v>1267</v>
      </c>
      <c r="F72" s="1211" t="s">
        <v>28</v>
      </c>
      <c r="G72" s="1351"/>
      <c r="H72" s="1231"/>
      <c r="I72" s="1312">
        <f>I73</f>
        <v>1279.516</v>
      </c>
      <c r="J72" s="274"/>
      <c r="K72" s="160"/>
      <c r="L72" s="160"/>
      <c r="M72" s="298"/>
    </row>
    <row r="73" spans="1:13" ht="12.75">
      <c r="A73" s="169" t="s">
        <v>201</v>
      </c>
      <c r="B73" s="1279" t="s">
        <v>201</v>
      </c>
      <c r="C73" s="1334" t="str">
        <f>'Бюд.р.'!A222</f>
        <v>Иные бюджетные ассигнования</v>
      </c>
      <c r="D73" s="1352">
        <v>968</v>
      </c>
      <c r="E73" s="2246" t="s">
        <v>1267</v>
      </c>
      <c r="F73" s="1215" t="s">
        <v>29</v>
      </c>
      <c r="G73" s="1353">
        <f>'Бюд.р.'!F222</f>
        <v>800</v>
      </c>
      <c r="H73" s="1217"/>
      <c r="I73" s="1313">
        <f>'Бюд.р.'!H222</f>
        <v>1279.516</v>
      </c>
      <c r="J73" s="274"/>
      <c r="K73" s="160"/>
      <c r="L73" s="160"/>
      <c r="M73" s="298"/>
    </row>
    <row r="74" spans="1:13" ht="12.75">
      <c r="A74" s="169"/>
      <c r="B74" s="2601" t="s">
        <v>679</v>
      </c>
      <c r="C74" s="2613" t="str">
        <f>'Бюд.р.'!A226</f>
        <v>Другие общегосударственные вопросы</v>
      </c>
      <c r="D74" s="2609">
        <v>968</v>
      </c>
      <c r="E74" s="2612" t="s">
        <v>925</v>
      </c>
      <c r="F74" s="2242"/>
      <c r="G74" s="2610"/>
      <c r="H74" s="2611"/>
      <c r="I74" s="2243">
        <f>I75+I77+I79+I81+I83+I85+I87</f>
        <v>1275.99</v>
      </c>
      <c r="J74" s="274"/>
      <c r="K74" s="160"/>
      <c r="L74" s="160"/>
      <c r="M74" s="298"/>
    </row>
    <row r="75" spans="1:13" ht="34.5" customHeight="1">
      <c r="A75" s="169"/>
      <c r="B75" s="1280" t="s">
        <v>442</v>
      </c>
      <c r="C75" s="1327" t="str">
        <f>'Бюд.р.'!A227</f>
        <v>ФОРМИРОВАНИЕ АРХИВНЫХ ФОНДОВ ОРГАНОВ МЕСТНОГО САМОУПРАВЛЕНИЯ,МУНИЦИПАЛЬНЫХ ПРЕДПРИЯТИЙ И УЧРЕЖДЕНИЙ</v>
      </c>
      <c r="D75" s="1226" t="s">
        <v>631</v>
      </c>
      <c r="E75" s="1227" t="s">
        <v>925</v>
      </c>
      <c r="F75" s="1260" t="str">
        <f>F76</f>
        <v>090 01 00</v>
      </c>
      <c r="G75" s="1228"/>
      <c r="H75" s="2635"/>
      <c r="I75" s="1315">
        <f>I76</f>
        <v>109.65</v>
      </c>
      <c r="J75" s="273">
        <f>J76</f>
        <v>0</v>
      </c>
      <c r="K75" s="157">
        <f>K76</f>
        <v>0</v>
      </c>
      <c r="L75" s="157">
        <f>L76</f>
        <v>0</v>
      </c>
      <c r="M75" s="297">
        <f>M76</f>
        <v>0</v>
      </c>
    </row>
    <row r="76" spans="1:13" ht="28.5" customHeight="1">
      <c r="A76" s="171"/>
      <c r="B76" s="1279" t="s">
        <v>201</v>
      </c>
      <c r="C76" s="1334" t="str">
        <f>'Бюд.р.'!A228</f>
        <v>Закупка товаров, работ и услуг  для государственных (муниципальных) нужд</v>
      </c>
      <c r="D76" s="1192" t="s">
        <v>631</v>
      </c>
      <c r="E76" s="1193" t="s">
        <v>925</v>
      </c>
      <c r="F76" s="1193" t="s">
        <v>1005</v>
      </c>
      <c r="G76" s="1194">
        <f>'Бюд.р.'!F228</f>
        <v>200</v>
      </c>
      <c r="H76" s="1210"/>
      <c r="I76" s="1309">
        <f>'Бюд.р.'!H228</f>
        <v>109.65</v>
      </c>
      <c r="J76" s="274">
        <v>0</v>
      </c>
      <c r="K76" s="160">
        <v>0</v>
      </c>
      <c r="L76" s="160">
        <v>0</v>
      </c>
      <c r="M76" s="298">
        <v>0</v>
      </c>
    </row>
    <row r="77" spans="1:13" ht="23.25" customHeight="1">
      <c r="A77" s="165"/>
      <c r="B77" s="1280" t="s">
        <v>1214</v>
      </c>
      <c r="C77" s="1327" t="str">
        <f>'Бюд.р.'!A240</f>
        <v>РАСХОДЫ НА ОСУЩЕСТВЛЕНИЕ ЗАКУПОК ТОВАРОВ, РАБОТ, УСЛУГ ДЛЯ ОБЕСПЕЧЕНИЯ МУНИЦИПАЛЬНЫХ НУЖД</v>
      </c>
      <c r="D77" s="1254">
        <v>968</v>
      </c>
      <c r="E77" s="1230">
        <v>113</v>
      </c>
      <c r="F77" s="1230" t="str">
        <f>F78</f>
        <v>092 02 00</v>
      </c>
      <c r="G77" s="1358"/>
      <c r="H77" s="1239"/>
      <c r="I77" s="1315">
        <f>I78</f>
        <v>400</v>
      </c>
      <c r="J77" s="274"/>
      <c r="K77" s="160"/>
      <c r="L77" s="160"/>
      <c r="M77" s="298"/>
    </row>
    <row r="78" spans="1:13" ht="24" customHeight="1">
      <c r="A78" s="165"/>
      <c r="B78" s="1279" t="s">
        <v>201</v>
      </c>
      <c r="C78" s="1334" t="str">
        <f>'Бюд.р.'!A241</f>
        <v>Закупка товаров, работ и услуг  для государственных (муниципальных) нужд</v>
      </c>
      <c r="D78" s="1352">
        <v>968</v>
      </c>
      <c r="E78" s="1215">
        <v>113</v>
      </c>
      <c r="F78" s="1215" t="s">
        <v>571</v>
      </c>
      <c r="G78" s="1353">
        <f>'Бюд.р.'!F241</f>
        <v>200</v>
      </c>
      <c r="H78" s="1229"/>
      <c r="I78" s="1313">
        <f>'Бюд.р.'!H241</f>
        <v>400</v>
      </c>
      <c r="J78" s="274"/>
      <c r="K78" s="160"/>
      <c r="L78" s="160"/>
      <c r="M78" s="298"/>
    </row>
    <row r="79" spans="1:13" ht="24" customHeight="1">
      <c r="A79" s="165"/>
      <c r="B79" s="1280" t="s">
        <v>1215</v>
      </c>
      <c r="C79" s="1328" t="str">
        <f>'Бюд.р.'!A245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79" s="1364">
        <v>968</v>
      </c>
      <c r="E79" s="1365">
        <f>'Бюд.р.'!C245</f>
        <v>113</v>
      </c>
      <c r="F79" s="1365" t="str">
        <f>'Бюд.р.'!D245</f>
        <v>092 05 00</v>
      </c>
      <c r="G79" s="2634"/>
      <c r="H79" s="1216"/>
      <c r="I79" s="1316">
        <f>I80</f>
        <v>72</v>
      </c>
      <c r="J79" s="274"/>
      <c r="K79" s="160"/>
      <c r="L79" s="160"/>
      <c r="M79" s="298"/>
    </row>
    <row r="80" spans="1:13" ht="16.5" customHeight="1">
      <c r="A80" s="165"/>
      <c r="B80" s="1285" t="s">
        <v>201</v>
      </c>
      <c r="C80" s="1334" t="str">
        <f>'Бюд.р.'!A246</f>
        <v>Иные бюджетные ассигнования</v>
      </c>
      <c r="D80" s="1352">
        <v>968</v>
      </c>
      <c r="E80" s="1215">
        <f>'Бюд.р.'!C246</f>
        <v>113</v>
      </c>
      <c r="F80" s="1215" t="str">
        <f>'Бюд.р.'!D246</f>
        <v>092 05 00</v>
      </c>
      <c r="G80" s="1353">
        <f>'Бюд.р.'!F246</f>
        <v>800</v>
      </c>
      <c r="H80" s="1229"/>
      <c r="I80" s="1313">
        <f>'Бюд.р.'!H246</f>
        <v>72</v>
      </c>
      <c r="J80" s="274"/>
      <c r="K80" s="160"/>
      <c r="L80" s="160"/>
      <c r="M80" s="298"/>
    </row>
    <row r="81" spans="1:13" ht="56.25">
      <c r="A81" s="176"/>
      <c r="B81" s="1280" t="s">
        <v>1341</v>
      </c>
      <c r="C81" s="1327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81" s="1254">
        <v>968</v>
      </c>
      <c r="E81" s="1227" t="s">
        <v>925</v>
      </c>
      <c r="F81" s="1230" t="str">
        <f>F82</f>
        <v>092 06 00</v>
      </c>
      <c r="G81" s="1358"/>
      <c r="H81" s="1239"/>
      <c r="I81" s="1315">
        <f>I82</f>
        <v>333.91999999999996</v>
      </c>
      <c r="J81" s="275"/>
      <c r="K81" s="205"/>
      <c r="L81" s="205"/>
      <c r="M81" s="265"/>
    </row>
    <row r="82" spans="1:13" ht="22.5" customHeight="1">
      <c r="A82" s="176"/>
      <c r="B82" s="1285" t="s">
        <v>201</v>
      </c>
      <c r="C82" s="1334" t="str">
        <f>'Бюд.р.'!A251</f>
        <v>Закупка товаров, работ и услуг  для государственных (муниципальных) нужд</v>
      </c>
      <c r="D82" s="1356">
        <v>968</v>
      </c>
      <c r="E82" s="1193" t="s">
        <v>925</v>
      </c>
      <c r="F82" s="1222" t="s">
        <v>1010</v>
      </c>
      <c r="G82" s="1357">
        <f>'Бюд.р.'!F251</f>
        <v>200</v>
      </c>
      <c r="H82" s="1236"/>
      <c r="I82" s="1277">
        <f>'Бюд.р.'!H251</f>
        <v>333.91999999999996</v>
      </c>
      <c r="J82" s="275"/>
      <c r="K82" s="205"/>
      <c r="L82" s="205"/>
      <c r="M82" s="265"/>
    </row>
    <row r="83" spans="1:13" ht="33.75">
      <c r="A83" s="176"/>
      <c r="B83" s="1304" t="s">
        <v>1342</v>
      </c>
      <c r="C83" s="1327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D83" s="1254">
        <v>968</v>
      </c>
      <c r="E83" s="1227" t="s">
        <v>925</v>
      </c>
      <c r="F83" s="1230" t="str">
        <f>F84</f>
        <v>795 02 00</v>
      </c>
      <c r="G83" s="2633"/>
      <c r="H83" s="2637"/>
      <c r="I83" s="1315">
        <f>I84</f>
        <v>90</v>
      </c>
      <c r="J83" s="275"/>
      <c r="K83" s="205"/>
      <c r="L83" s="205"/>
      <c r="M83" s="265"/>
    </row>
    <row r="84" spans="1:13" ht="24" customHeight="1">
      <c r="A84" s="176"/>
      <c r="B84" s="1279" t="s">
        <v>201</v>
      </c>
      <c r="C84" s="1334" t="str">
        <f>'Бюд.р.'!A267</f>
        <v>Закупка товаров, работ и услуг  для государственных (муниципальных) нужд</v>
      </c>
      <c r="D84" s="1352">
        <v>968</v>
      </c>
      <c r="E84" s="1193" t="s">
        <v>925</v>
      </c>
      <c r="F84" s="1215" t="s">
        <v>1013</v>
      </c>
      <c r="G84" s="1353">
        <f>'Бюд.р.'!F267</f>
        <v>200</v>
      </c>
      <c r="H84" s="1237"/>
      <c r="I84" s="1313">
        <f>'Бюд.р.'!H267</f>
        <v>90</v>
      </c>
      <c r="J84" s="275"/>
      <c r="K84" s="205"/>
      <c r="L84" s="205"/>
      <c r="M84" s="265"/>
    </row>
    <row r="85" spans="1:13" ht="24" customHeight="1">
      <c r="A85" s="176"/>
      <c r="B85" s="1280" t="s">
        <v>1343</v>
      </c>
      <c r="C85" s="1327" t="str">
        <f>'Бюд.р.'!A261</f>
        <v>РАСХОДЫ НА ОСУЩЕСТВЛЕНИЕ ЗАЩИТЫ ПРАВ ПОТРЕБИТЕЛЕЙ</v>
      </c>
      <c r="D85" s="1254">
        <v>968</v>
      </c>
      <c r="E85" s="1227" t="s">
        <v>925</v>
      </c>
      <c r="F85" s="1230" t="str">
        <f>'Бюд.р.'!D261</f>
        <v>092 10 00</v>
      </c>
      <c r="G85" s="1358"/>
      <c r="H85" s="2636"/>
      <c r="I85" s="1315">
        <f>I86</f>
        <v>133.92</v>
      </c>
      <c r="J85" s="275"/>
      <c r="K85" s="205"/>
      <c r="L85" s="205"/>
      <c r="M85" s="265"/>
    </row>
    <row r="86" spans="1:13" ht="24" customHeight="1">
      <c r="A86" s="176"/>
      <c r="B86" s="1279" t="s">
        <v>201</v>
      </c>
      <c r="C86" s="1334" t="str">
        <f>'Бюд.р.'!A262</f>
        <v>Закупка товаров, работ и услуг  для государственных (муниципальных) нужд</v>
      </c>
      <c r="D86" s="1352">
        <v>968</v>
      </c>
      <c r="E86" s="2473" t="s">
        <v>925</v>
      </c>
      <c r="F86" s="1215" t="str">
        <f>'Бюд.р.'!D262</f>
        <v>092 10 00</v>
      </c>
      <c r="G86" s="1353">
        <f>'Бюд.р.'!F262</f>
        <v>200</v>
      </c>
      <c r="H86" s="1237"/>
      <c r="I86" s="1313">
        <f>'Бюд.р.'!H262</f>
        <v>133.92</v>
      </c>
      <c r="J86" s="275"/>
      <c r="K86" s="205"/>
      <c r="L86" s="205"/>
      <c r="M86" s="265"/>
    </row>
    <row r="87" spans="1:13" ht="66.75" customHeight="1">
      <c r="A87" s="164"/>
      <c r="B87" s="1280" t="s">
        <v>1344</v>
      </c>
      <c r="C87" s="1327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87" s="1254">
        <v>968</v>
      </c>
      <c r="E87" s="2638" t="s">
        <v>925</v>
      </c>
      <c r="F87" s="1230" t="str">
        <f>'Бюд.р.'!D273</f>
        <v>795 11 00</v>
      </c>
      <c r="G87" s="1228"/>
      <c r="H87" s="1239"/>
      <c r="I87" s="1315">
        <f>I88</f>
        <v>136.5</v>
      </c>
      <c r="J87" s="273"/>
      <c r="K87" s="157"/>
      <c r="L87" s="157"/>
      <c r="M87" s="297"/>
    </row>
    <row r="88" spans="1:13" ht="27" customHeight="1" thickBot="1">
      <c r="A88" s="164"/>
      <c r="B88" s="1279" t="s">
        <v>201</v>
      </c>
      <c r="C88" s="1334" t="str">
        <f>'Бюд.р.'!A274</f>
        <v>Закупка товаров, работ и услуг  для государственных (муниципальных) нужд</v>
      </c>
      <c r="D88" s="1352">
        <v>968</v>
      </c>
      <c r="E88" s="2473" t="s">
        <v>925</v>
      </c>
      <c r="F88" s="1215" t="str">
        <f>'Бюд.р.'!D274</f>
        <v>795 11 00</v>
      </c>
      <c r="G88" s="1359">
        <f>'Бюд.р.'!F274</f>
        <v>200</v>
      </c>
      <c r="H88" s="1229"/>
      <c r="I88" s="1313">
        <f>'Бюд.р.'!H274</f>
        <v>136.5</v>
      </c>
      <c r="J88" s="273"/>
      <c r="K88" s="157"/>
      <c r="L88" s="157"/>
      <c r="M88" s="297"/>
    </row>
    <row r="89" spans="1:13" ht="27" customHeight="1" thickBot="1">
      <c r="A89" s="164"/>
      <c r="B89" s="2594" t="s">
        <v>804</v>
      </c>
      <c r="C89" s="2595" t="str">
        <f>'Бюд.р.'!A279</f>
        <v>НАЦИОНАЛЬНАЯ БЕЗОПАСНОСТЬ И ПРАВООХРАНИТЕЛЬНАЯ ДЕЯТЕЛЬНОСТЬ</v>
      </c>
      <c r="D89" s="2596">
        <v>968</v>
      </c>
      <c r="E89" s="2614" t="s">
        <v>468</v>
      </c>
      <c r="F89" s="2597"/>
      <c r="G89" s="2598"/>
      <c r="H89" s="2599"/>
      <c r="I89" s="2600">
        <f>I90</f>
        <v>276.351</v>
      </c>
      <c r="J89" s="273"/>
      <c r="K89" s="157"/>
      <c r="L89" s="157"/>
      <c r="M89" s="297"/>
    </row>
    <row r="90" spans="1:13" ht="42" customHeight="1">
      <c r="A90" s="164"/>
      <c r="B90" s="2601" t="s">
        <v>1345</v>
      </c>
      <c r="C90" s="2602" t="str">
        <f>'Бюд.р.'!A280</f>
        <v>Защита населения и территории от чрезвычайных ситуаций природного и техногенного характера, гражданская оборона</v>
      </c>
      <c r="D90" s="2603">
        <v>968</v>
      </c>
      <c r="E90" s="2624" t="s">
        <v>419</v>
      </c>
      <c r="F90" s="2604"/>
      <c r="G90" s="2605"/>
      <c r="H90" s="2606"/>
      <c r="I90" s="2607">
        <f>I91+I93</f>
        <v>276.351</v>
      </c>
      <c r="J90" s="273"/>
      <c r="K90" s="157"/>
      <c r="L90" s="157"/>
      <c r="M90" s="297"/>
    </row>
    <row r="91" spans="1:13" ht="123.75" customHeight="1">
      <c r="A91" s="164"/>
      <c r="B91" s="1280" t="s">
        <v>203</v>
      </c>
      <c r="C91" s="1241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91" s="1360">
        <v>968</v>
      </c>
      <c r="E91" s="2639" t="s">
        <v>419</v>
      </c>
      <c r="F91" s="1305" t="str">
        <f>F92</f>
        <v>219 03 00</v>
      </c>
      <c r="G91" s="2640"/>
      <c r="H91" s="2641"/>
      <c r="I91" s="1317">
        <f>I92</f>
        <v>151.351</v>
      </c>
      <c r="J91" s="273"/>
      <c r="K91" s="157"/>
      <c r="L91" s="157"/>
      <c r="M91" s="297"/>
    </row>
    <row r="92" spans="1:13" ht="24" customHeight="1">
      <c r="A92" s="165" t="s">
        <v>198</v>
      </c>
      <c r="B92" s="1285" t="s">
        <v>201</v>
      </c>
      <c r="C92" s="1334" t="str">
        <f>'Бюд.р.'!A282</f>
        <v>Закупка товаров, работ и услуг  для государственных (муниципальных) нужд</v>
      </c>
      <c r="D92" s="1352">
        <v>968</v>
      </c>
      <c r="E92" s="1244" t="s">
        <v>419</v>
      </c>
      <c r="F92" s="1215" t="s">
        <v>1020</v>
      </c>
      <c r="G92" s="1353">
        <f>'Бюд.р.'!F282</f>
        <v>200</v>
      </c>
      <c r="H92" s="1229"/>
      <c r="I92" s="1313">
        <f>'Бюд.р.'!H282</f>
        <v>151.351</v>
      </c>
      <c r="J92" s="274">
        <v>37.5</v>
      </c>
      <c r="K92" s="160">
        <v>288.6</v>
      </c>
      <c r="L92" s="160">
        <v>202</v>
      </c>
      <c r="M92" s="298">
        <v>33</v>
      </c>
    </row>
    <row r="93" spans="1:13" ht="46.5" customHeight="1">
      <c r="A93" s="163"/>
      <c r="B93" s="1280" t="s">
        <v>513</v>
      </c>
      <c r="C93" s="1327" t="str">
        <f>'Бюд.р.'!A302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93" s="1254">
        <v>968</v>
      </c>
      <c r="E93" s="2642" t="s">
        <v>419</v>
      </c>
      <c r="F93" s="1230" t="str">
        <f>F94</f>
        <v>795 05 00</v>
      </c>
      <c r="G93" s="1228"/>
      <c r="H93" s="1239"/>
      <c r="I93" s="1315">
        <f>I94</f>
        <v>125</v>
      </c>
      <c r="J93" s="275"/>
      <c r="K93" s="205"/>
      <c r="L93" s="205"/>
      <c r="M93" s="265"/>
    </row>
    <row r="94" spans="1:13" ht="24.75" customHeight="1" thickBot="1">
      <c r="A94" s="163"/>
      <c r="B94" s="1279" t="s">
        <v>201</v>
      </c>
      <c r="C94" s="1334" t="str">
        <f>'Бюд.р.'!A303</f>
        <v>Закупка товаров, работ и услуг  для государственных (муниципальных) нужд</v>
      </c>
      <c r="D94" s="1243" t="s">
        <v>631</v>
      </c>
      <c r="E94" s="1244" t="s">
        <v>419</v>
      </c>
      <c r="F94" s="1244" t="s">
        <v>11</v>
      </c>
      <c r="G94" s="1245">
        <f>'Бюд.р.'!F303</f>
        <v>200</v>
      </c>
      <c r="H94" s="1246"/>
      <c r="I94" s="1318">
        <f>'Бюд.р.'!H303</f>
        <v>125</v>
      </c>
      <c r="J94" s="275"/>
      <c r="K94" s="205"/>
      <c r="L94" s="205"/>
      <c r="M94" s="265"/>
    </row>
    <row r="95" spans="1:13" ht="18" customHeight="1" thickBot="1">
      <c r="A95" s="163"/>
      <c r="B95" s="2594" t="s">
        <v>471</v>
      </c>
      <c r="C95" s="2595" t="str">
        <f>'Бюд.р.'!A308</f>
        <v>НАЦИОНАЛЬНАЯ ЭКОНОМИКА</v>
      </c>
      <c r="D95" s="2596">
        <v>968</v>
      </c>
      <c r="E95" s="2614" t="s">
        <v>899</v>
      </c>
      <c r="F95" s="2597"/>
      <c r="G95" s="2598"/>
      <c r="H95" s="2599"/>
      <c r="I95" s="2600">
        <f>I96+I99</f>
        <v>186.5</v>
      </c>
      <c r="J95" s="275"/>
      <c r="K95" s="205"/>
      <c r="L95" s="205"/>
      <c r="M95" s="265"/>
    </row>
    <row r="96" spans="1:13" ht="17.25" customHeight="1">
      <c r="A96" s="163"/>
      <c r="B96" s="2601" t="s">
        <v>1127</v>
      </c>
      <c r="C96" s="2602" t="str">
        <f>'Бюд.р.'!A309</f>
        <v>Общеэкономические вопросы</v>
      </c>
      <c r="D96" s="2603">
        <v>968</v>
      </c>
      <c r="E96" s="2624" t="s">
        <v>1268</v>
      </c>
      <c r="F96" s="2604"/>
      <c r="G96" s="2605"/>
      <c r="H96" s="2606"/>
      <c r="I96" s="2607">
        <f>I97</f>
        <v>166.5</v>
      </c>
      <c r="J96" s="275"/>
      <c r="K96" s="205"/>
      <c r="L96" s="205"/>
      <c r="M96" s="265"/>
    </row>
    <row r="97" spans="1:13" ht="26.25" customHeight="1">
      <c r="A97" s="163"/>
      <c r="B97" s="1280" t="s">
        <v>211</v>
      </c>
      <c r="C97" s="1327" t="str">
        <f>'Бюд.р.'!A310</f>
        <v>ВРЕМЕННОЕ ТРУДОУСТРОЙСТВО НЕСОВЕРШЕННОЛЕТНИХ В ВОЗРАСТЕ ОТ 14 ДО 18 ЛЕТ В СВОБОДНОЕ ОТ УЧЕБЫ ВРЕМЯ</v>
      </c>
      <c r="D97" s="1254">
        <v>968</v>
      </c>
      <c r="E97" s="2254" t="s">
        <v>1268</v>
      </c>
      <c r="F97" s="1230" t="s">
        <v>935</v>
      </c>
      <c r="G97" s="1358"/>
      <c r="H97" s="1239"/>
      <c r="I97" s="1315">
        <f>I98</f>
        <v>166.5</v>
      </c>
      <c r="J97" s="275"/>
      <c r="K97" s="205"/>
      <c r="L97" s="205"/>
      <c r="M97" s="265"/>
    </row>
    <row r="98" spans="1:13" ht="16.5" customHeight="1">
      <c r="A98" s="163"/>
      <c r="B98" s="1285" t="s">
        <v>201</v>
      </c>
      <c r="C98" s="1339" t="str">
        <f>'Бюд.р.'!A311</f>
        <v>Иные бюджетные ассигнования</v>
      </c>
      <c r="D98" s="1356">
        <v>968</v>
      </c>
      <c r="E98" s="2253" t="s">
        <v>1268</v>
      </c>
      <c r="F98" s="1222" t="s">
        <v>935</v>
      </c>
      <c r="G98" s="1357">
        <f>'Бюд.р.'!F311</f>
        <v>800</v>
      </c>
      <c r="H98" s="1236"/>
      <c r="I98" s="1277">
        <f>'Бюд.р.'!H311</f>
        <v>166.5</v>
      </c>
      <c r="J98" s="275"/>
      <c r="K98" s="205"/>
      <c r="L98" s="205"/>
      <c r="M98" s="265"/>
    </row>
    <row r="99" spans="1:13" ht="26.25" customHeight="1">
      <c r="A99" s="163"/>
      <c r="B99" s="2643" t="s">
        <v>4</v>
      </c>
      <c r="C99" s="2613" t="str">
        <f>'Бюд.р.'!A320</f>
        <v>Другие вопросы в области национальной экономики</v>
      </c>
      <c r="D99" s="2609">
        <v>968</v>
      </c>
      <c r="E99" s="2612" t="s">
        <v>898</v>
      </c>
      <c r="F99" s="2242"/>
      <c r="G99" s="2610"/>
      <c r="H99" s="2611"/>
      <c r="I99" s="2243">
        <f>I100</f>
        <v>20</v>
      </c>
      <c r="J99" s="275"/>
      <c r="K99" s="205"/>
      <c r="L99" s="205"/>
      <c r="M99" s="265"/>
    </row>
    <row r="100" spans="1:13" ht="25.5" customHeight="1">
      <c r="A100" s="163"/>
      <c r="B100" s="1280" t="s">
        <v>5</v>
      </c>
      <c r="C100" s="1327" t="str">
        <f>'Бюд.р.'!A321</f>
        <v>Ведомственная целевая программа по содействия развитию малого бизнеса на территории МО</v>
      </c>
      <c r="D100" s="1235">
        <v>968</v>
      </c>
      <c r="E100" s="1666" t="s">
        <v>898</v>
      </c>
      <c r="F100" s="1211" t="str">
        <f>'Бюд.р.'!D321</f>
        <v>795 07 00</v>
      </c>
      <c r="G100" s="1351"/>
      <c r="H100" s="1191"/>
      <c r="I100" s="1311">
        <f>I101</f>
        <v>20</v>
      </c>
      <c r="J100" s="275"/>
      <c r="K100" s="205"/>
      <c r="L100" s="205"/>
      <c r="M100" s="265"/>
    </row>
    <row r="101" spans="1:13" ht="24.75" customHeight="1" thickBot="1">
      <c r="A101" s="163"/>
      <c r="B101" s="1279" t="s">
        <v>201</v>
      </c>
      <c r="C101" s="1334" t="str">
        <f>'Бюд.р.'!A322</f>
        <v>Закупка товаров, работ и услуг  для государственных (муниципальных) нужд</v>
      </c>
      <c r="D101" s="1356">
        <v>968</v>
      </c>
      <c r="E101" s="1667" t="s">
        <v>898</v>
      </c>
      <c r="F101" s="1222" t="str">
        <f>'Бюд.р.'!D322</f>
        <v>795 07 00</v>
      </c>
      <c r="G101" s="1357">
        <f>'Бюд.р.'!F322</f>
        <v>200</v>
      </c>
      <c r="H101" s="1236"/>
      <c r="I101" s="1277">
        <f>'Бюд.р.'!H322</f>
        <v>20</v>
      </c>
      <c r="J101" s="275"/>
      <c r="K101" s="205"/>
      <c r="L101" s="205"/>
      <c r="M101" s="265"/>
    </row>
    <row r="102" spans="1:13" ht="18.75" customHeight="1" thickBot="1">
      <c r="A102" s="163"/>
      <c r="B102" s="2594" t="s">
        <v>680</v>
      </c>
      <c r="C102" s="2595" t="str">
        <f>'Бюд.р.'!A326</f>
        <v>ЖИЛИЩНО-КОММУНАЛЬНОЕ ХОЗЯЙСТВО</v>
      </c>
      <c r="D102" s="2596">
        <v>968</v>
      </c>
      <c r="E102" s="2614" t="s">
        <v>405</v>
      </c>
      <c r="F102" s="2597"/>
      <c r="G102" s="2598"/>
      <c r="H102" s="2599"/>
      <c r="I102" s="2600">
        <f>I103</f>
        <v>50164.903</v>
      </c>
      <c r="J102" s="275"/>
      <c r="K102" s="205"/>
      <c r="L102" s="205"/>
      <c r="M102" s="265"/>
    </row>
    <row r="103" spans="1:13" ht="18" customHeight="1">
      <c r="A103" s="163"/>
      <c r="B103" s="2601" t="s">
        <v>404</v>
      </c>
      <c r="C103" s="2602" t="str">
        <f>'Бюд.р.'!A327</f>
        <v>Благоустройство</v>
      </c>
      <c r="D103" s="2603">
        <v>968</v>
      </c>
      <c r="E103" s="2624" t="s">
        <v>407</v>
      </c>
      <c r="F103" s="2604"/>
      <c r="G103" s="2605"/>
      <c r="H103" s="2606"/>
      <c r="I103" s="2607">
        <f>I104+I106+I108+I110+I116+I118+I121+I125+I128+I130</f>
        <v>50164.903</v>
      </c>
      <c r="J103" s="275"/>
      <c r="K103" s="205"/>
      <c r="L103" s="205"/>
      <c r="M103" s="265"/>
    </row>
    <row r="104" spans="1:13" ht="34.5" customHeight="1">
      <c r="A104" s="164" t="s">
        <v>280</v>
      </c>
      <c r="B104" s="1280" t="s">
        <v>434</v>
      </c>
      <c r="C104" s="1253" t="str">
        <f>'Бюд.р.'!A329</f>
        <v>ТЕКУЩИЙ РЕМОНТ ПРИДОМОВЫХ ТЕРРИТОРИЙ И ДВОРОВЫХ ТЕРРИТОРИЙ , ВКЛЮЧАЯ ПРОЕЗДЫ И ВЪЕЗДЫ,ПЕШЕХОДНЫЕ ДОРОЖКИ</v>
      </c>
      <c r="D104" s="1226" t="s">
        <v>631</v>
      </c>
      <c r="E104" s="1227" t="s">
        <v>407</v>
      </c>
      <c r="F104" s="1227" t="s">
        <v>410</v>
      </c>
      <c r="G104" s="1228"/>
      <c r="H104" s="1239"/>
      <c r="I104" s="1315">
        <f>SUM(I105:I105)</f>
        <v>32358.722999999998</v>
      </c>
      <c r="J104" s="273">
        <f>SUM(J105:J105)</f>
        <v>0</v>
      </c>
      <c r="K104" s="157">
        <f>SUM(K105:K105)</f>
        <v>1764.8</v>
      </c>
      <c r="L104" s="157">
        <f>SUM(L105:L105)</f>
        <v>4118</v>
      </c>
      <c r="M104" s="297">
        <f>SUM(M105:M105)</f>
        <v>0</v>
      </c>
    </row>
    <row r="105" spans="1:13" ht="25.5" customHeight="1">
      <c r="A105" s="165" t="s">
        <v>198</v>
      </c>
      <c r="B105" s="1279" t="s">
        <v>201</v>
      </c>
      <c r="C105" s="1334" t="str">
        <f>'Бюд.р.'!A330</f>
        <v>Закупка товаров, работ и услуг  для государственных (муниципальных) нужд</v>
      </c>
      <c r="D105" s="1192" t="s">
        <v>631</v>
      </c>
      <c r="E105" s="1193" t="s">
        <v>407</v>
      </c>
      <c r="F105" s="1193" t="s">
        <v>410</v>
      </c>
      <c r="G105" s="1194">
        <f>'Бюд.р.'!F330</f>
        <v>200</v>
      </c>
      <c r="H105" s="1195"/>
      <c r="I105" s="1309">
        <f>'Бюд.р.'!H330</f>
        <v>32358.722999999998</v>
      </c>
      <c r="J105" s="274"/>
      <c r="K105" s="160">
        <v>1764.8</v>
      </c>
      <c r="L105" s="160">
        <v>4118</v>
      </c>
      <c r="M105" s="298"/>
    </row>
    <row r="106" spans="1:13" ht="24" customHeight="1">
      <c r="A106" s="179"/>
      <c r="B106" s="1280" t="s">
        <v>1202</v>
      </c>
      <c r="C106" s="1253" t="str">
        <f>'Бюд.р.'!A338</f>
        <v>ОРГАНИЗАЦИЯ ДОПОЛНИТЕЛЬНЫХ  ПАРКОВОЧНЫХ МЕСТ НА ДВОРОВЫХ ТЕРРИТОРИЯХ</v>
      </c>
      <c r="D106" s="1226" t="s">
        <v>631</v>
      </c>
      <c r="E106" s="1227" t="s">
        <v>407</v>
      </c>
      <c r="F106" s="1227" t="s">
        <v>411</v>
      </c>
      <c r="G106" s="1228"/>
      <c r="H106" s="1202"/>
      <c r="I106" s="1315">
        <f>I107</f>
        <v>473.057</v>
      </c>
      <c r="J106" s="273">
        <f>J107</f>
        <v>0</v>
      </c>
      <c r="K106" s="157">
        <f>K107</f>
        <v>0</v>
      </c>
      <c r="L106" s="157">
        <f>L107</f>
        <v>0</v>
      </c>
      <c r="M106" s="297">
        <f>M107</f>
        <v>0</v>
      </c>
    </row>
    <row r="107" spans="1:13" ht="25.5" customHeight="1">
      <c r="A107" s="179"/>
      <c r="B107" s="1279" t="s">
        <v>201</v>
      </c>
      <c r="C107" s="1334" t="str">
        <f>'Бюд.р.'!A339</f>
        <v>Закупка товаров, работ и услуг  для государственных (муниципальных) нужд</v>
      </c>
      <c r="D107" s="1192" t="s">
        <v>631</v>
      </c>
      <c r="E107" s="1193" t="s">
        <v>407</v>
      </c>
      <c r="F107" s="1193" t="s">
        <v>411</v>
      </c>
      <c r="G107" s="1194">
        <f>'Бюд.р.'!F339</f>
        <v>200</v>
      </c>
      <c r="H107" s="1206"/>
      <c r="I107" s="1309">
        <f>'Бюд.р.'!H339</f>
        <v>473.057</v>
      </c>
      <c r="J107" s="274">
        <v>0</v>
      </c>
      <c r="K107" s="160">
        <v>0</v>
      </c>
      <c r="L107" s="160">
        <v>0</v>
      </c>
      <c r="M107" s="298">
        <v>0</v>
      </c>
    </row>
    <row r="108" spans="1:13" ht="12.75" customHeight="1">
      <c r="A108" s="164" t="s">
        <v>441</v>
      </c>
      <c r="B108" s="1280" t="s">
        <v>1203</v>
      </c>
      <c r="C108" s="1323" t="str">
        <f>'Бюд.р.'!A343</f>
        <v>УСТАНОВКА,СОДЕРЖАНИЕ И РЕМОНТ ОГРАЖДЕНИЙ ГАЗОНОВ </v>
      </c>
      <c r="D108" s="1226" t="s">
        <v>631</v>
      </c>
      <c r="E108" s="1227" t="s">
        <v>407</v>
      </c>
      <c r="F108" s="1227" t="s">
        <v>412</v>
      </c>
      <c r="G108" s="1228"/>
      <c r="H108" s="1239"/>
      <c r="I108" s="1315">
        <f>SUM(I109:I109)</f>
        <v>2616.2039999999997</v>
      </c>
      <c r="J108" s="273">
        <f>SUM(J109:J109)</f>
        <v>0</v>
      </c>
      <c r="K108" s="157">
        <f>SUM(K109:K109)</f>
        <v>1096.9</v>
      </c>
      <c r="L108" s="157">
        <f>SUM(L109:L109)</f>
        <v>2596.1</v>
      </c>
      <c r="M108" s="297">
        <f>SUM(M109:M109)</f>
        <v>0</v>
      </c>
    </row>
    <row r="109" spans="1:13" ht="24" customHeight="1">
      <c r="A109" s="164"/>
      <c r="B109" s="1279" t="s">
        <v>201</v>
      </c>
      <c r="C109" s="1334" t="str">
        <f>'Бюд.р.'!A344</f>
        <v>Закупка товаров, работ и услуг  для государственных (муниципальных) нужд</v>
      </c>
      <c r="D109" s="1192" t="s">
        <v>631</v>
      </c>
      <c r="E109" s="1193" t="s">
        <v>407</v>
      </c>
      <c r="F109" s="1193" t="s">
        <v>412</v>
      </c>
      <c r="G109" s="1194">
        <f>'Бюд.р.'!F344</f>
        <v>200</v>
      </c>
      <c r="H109" s="1191"/>
      <c r="I109" s="1309">
        <f>'Бюд.р.'!H344</f>
        <v>2616.2039999999997</v>
      </c>
      <c r="J109" s="274">
        <v>0</v>
      </c>
      <c r="K109" s="160">
        <v>1096.9</v>
      </c>
      <c r="L109" s="160">
        <v>2596.1</v>
      </c>
      <c r="M109" s="298">
        <v>0</v>
      </c>
    </row>
    <row r="110" spans="1:13" ht="45.75" customHeight="1">
      <c r="A110" s="164"/>
      <c r="B110" s="1280" t="s">
        <v>1204</v>
      </c>
      <c r="C110" s="1323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D110" s="1226" t="s">
        <v>631</v>
      </c>
      <c r="E110" s="1227" t="s">
        <v>407</v>
      </c>
      <c r="F110" s="1227" t="s">
        <v>414</v>
      </c>
      <c r="G110" s="1228"/>
      <c r="H110" s="1239"/>
      <c r="I110" s="1315">
        <f>I111</f>
        <v>673.738</v>
      </c>
      <c r="J110" s="273">
        <f>J111</f>
        <v>0</v>
      </c>
      <c r="K110" s="157">
        <f>K111</f>
        <v>0</v>
      </c>
      <c r="L110" s="157">
        <f>L111</f>
        <v>300</v>
      </c>
      <c r="M110" s="297">
        <f>M111</f>
        <v>0</v>
      </c>
    </row>
    <row r="111" spans="1:13" ht="24" customHeight="1">
      <c r="A111" s="164"/>
      <c r="B111" s="1287" t="s">
        <v>201</v>
      </c>
      <c r="C111" s="1334" t="str">
        <f>'Бюд.р.'!A355</f>
        <v>Закупка товаров, работ и услуг  для государственных (муниципальных) нужд</v>
      </c>
      <c r="D111" s="1192" t="s">
        <v>631</v>
      </c>
      <c r="E111" s="1193" t="s">
        <v>407</v>
      </c>
      <c r="F111" s="1193" t="s">
        <v>414</v>
      </c>
      <c r="G111" s="1194">
        <f>'Бюд.р.'!F355</f>
        <v>200</v>
      </c>
      <c r="H111" s="1191"/>
      <c r="I111" s="1309">
        <f>'Бюд.р.'!H355</f>
        <v>673.738</v>
      </c>
      <c r="J111" s="274">
        <v>0</v>
      </c>
      <c r="K111" s="160">
        <v>0</v>
      </c>
      <c r="L111" s="160">
        <v>300</v>
      </c>
      <c r="M111" s="298">
        <v>0</v>
      </c>
    </row>
    <row r="112" spans="1:13" ht="22.5" customHeight="1" hidden="1">
      <c r="A112" s="164" t="s">
        <v>704</v>
      </c>
      <c r="B112" s="2472"/>
      <c r="C112" s="1323" t="str">
        <f>'Бюд.р.'!A363</f>
        <v>ОБОРУДОВАНИЕ КОНТЕЙНЕРНЫХ ПЛОЩАДОК НА ТЕРРИТОРИЯХ ДВОРОВ</v>
      </c>
      <c r="D112" s="1188" t="s">
        <v>631</v>
      </c>
      <c r="E112" s="1189" t="s">
        <v>407</v>
      </c>
      <c r="F112" s="1189" t="s">
        <v>463</v>
      </c>
      <c r="G112" s="1190"/>
      <c r="H112" s="1191"/>
      <c r="I112" s="1311">
        <f>I113</f>
        <v>0</v>
      </c>
      <c r="J112" s="273">
        <f>J113</f>
        <v>0</v>
      </c>
      <c r="K112" s="157">
        <f>K113</f>
        <v>1087.1</v>
      </c>
      <c r="L112" s="157">
        <f>L113</f>
        <v>1666</v>
      </c>
      <c r="M112" s="297">
        <f>M113</f>
        <v>0</v>
      </c>
    </row>
    <row r="113" spans="1:13" ht="24" customHeight="1" hidden="1">
      <c r="A113" s="50" t="s">
        <v>705</v>
      </c>
      <c r="B113" s="2472"/>
      <c r="C113" s="1334" t="str">
        <f>'Бюд.р.'!A364</f>
        <v>Закупка товаров, работ и услуг  для государственных (муниципальных) нужд</v>
      </c>
      <c r="D113" s="1192" t="s">
        <v>631</v>
      </c>
      <c r="E113" s="1193" t="s">
        <v>407</v>
      </c>
      <c r="F113" s="1193" t="s">
        <v>463</v>
      </c>
      <c r="G113" s="1194">
        <f>'Бюд.р.'!F364</f>
        <v>200</v>
      </c>
      <c r="H113" s="1195"/>
      <c r="I113" s="1309">
        <f>'Бюд.р.'!H364</f>
        <v>0</v>
      </c>
      <c r="J113" s="274">
        <v>0</v>
      </c>
      <c r="K113" s="160">
        <v>1087.1</v>
      </c>
      <c r="L113" s="160">
        <v>1666</v>
      </c>
      <c r="M113" s="298">
        <v>0</v>
      </c>
    </row>
    <row r="114" spans="1:13" ht="22.5" hidden="1">
      <c r="A114" s="164" t="s">
        <v>707</v>
      </c>
      <c r="B114" s="1280"/>
      <c r="C114" s="1253" t="s">
        <v>464</v>
      </c>
      <c r="D114" s="1188" t="s">
        <v>631</v>
      </c>
      <c r="E114" s="1189" t="s">
        <v>407</v>
      </c>
      <c r="F114" s="1189" t="s">
        <v>395</v>
      </c>
      <c r="G114" s="1190"/>
      <c r="H114" s="1191"/>
      <c r="I114" s="1311">
        <f>I115</f>
        <v>0</v>
      </c>
      <c r="J114" s="273">
        <f>J115</f>
        <v>0</v>
      </c>
      <c r="K114" s="157">
        <f>K115</f>
        <v>500</v>
      </c>
      <c r="L114" s="157">
        <f>L115</f>
        <v>300</v>
      </c>
      <c r="M114" s="297">
        <f>M115</f>
        <v>0</v>
      </c>
    </row>
    <row r="115" spans="1:13" ht="14.25" customHeight="1" hidden="1">
      <c r="A115" s="50" t="s">
        <v>708</v>
      </c>
      <c r="B115" s="1287"/>
      <c r="C115" s="1334" t="str">
        <f>'Бюд.р.'!A371</f>
        <v>Прочая закупка товаров, работ и услуг для муниципальных нужд</v>
      </c>
      <c r="D115" s="1192" t="s">
        <v>631</v>
      </c>
      <c r="E115" s="1193" t="s">
        <v>407</v>
      </c>
      <c r="F115" s="1193" t="s">
        <v>395</v>
      </c>
      <c r="G115" s="1194">
        <f>'Бюд.р.'!F371</f>
        <v>244</v>
      </c>
      <c r="H115" s="1195"/>
      <c r="I115" s="1309">
        <f>'Бюд.р.'!H371</f>
        <v>0</v>
      </c>
      <c r="J115" s="274">
        <v>0</v>
      </c>
      <c r="K115" s="160">
        <v>500</v>
      </c>
      <c r="L115" s="160">
        <v>300</v>
      </c>
      <c r="M115" s="298">
        <v>0</v>
      </c>
    </row>
    <row r="116" spans="1:13" ht="33.75">
      <c r="A116" s="257"/>
      <c r="B116" s="1291" t="s">
        <v>1205</v>
      </c>
      <c r="C116" s="1253" t="str">
        <f>'Бюд.р.'!A374</f>
        <v>ЛИКВИДАЦИЯ НЕСАНКЦИОНИРОВАННЫХ СВАЛОК БЫТОВЫХ ОТХОДОВ, МУСОРА, УБОРКА ТЕРРИТОРИЙ, ВОДНЫХ АКВАТОРИЙ, ТУПИКОВ И ПРОЕЗДОВ</v>
      </c>
      <c r="D116" s="1226" t="s">
        <v>631</v>
      </c>
      <c r="E116" s="1227" t="s">
        <v>407</v>
      </c>
      <c r="F116" s="1227" t="s">
        <v>1024</v>
      </c>
      <c r="G116" s="1228"/>
      <c r="H116" s="1202"/>
      <c r="I116" s="1315">
        <f>I117</f>
        <v>350</v>
      </c>
      <c r="J116" s="273">
        <f>J117</f>
        <v>0</v>
      </c>
      <c r="K116" s="157">
        <f>K117</f>
        <v>500</v>
      </c>
      <c r="L116" s="157">
        <f>L117</f>
        <v>297.6</v>
      </c>
      <c r="M116" s="297">
        <f>M117</f>
        <v>0</v>
      </c>
    </row>
    <row r="117" spans="1:13" ht="25.5" customHeight="1">
      <c r="A117" s="257"/>
      <c r="B117" s="1289" t="s">
        <v>201</v>
      </c>
      <c r="C117" s="1334" t="str">
        <f>'Бюд.р.'!A375</f>
        <v>Закупка товаров, работ и услуг  для государственных (муниципальных) нужд</v>
      </c>
      <c r="D117" s="1192" t="s">
        <v>631</v>
      </c>
      <c r="E117" s="1193" t="s">
        <v>407</v>
      </c>
      <c r="F117" s="1193" t="s">
        <v>1024</v>
      </c>
      <c r="G117" s="1194">
        <f>'Бюд.р.'!F375</f>
        <v>200</v>
      </c>
      <c r="H117" s="1206"/>
      <c r="I117" s="1309">
        <f>'Бюд.р.'!H375</f>
        <v>350</v>
      </c>
      <c r="J117" s="274">
        <v>0</v>
      </c>
      <c r="K117" s="160">
        <v>500</v>
      </c>
      <c r="L117" s="160">
        <v>297.6</v>
      </c>
      <c r="M117" s="298">
        <v>0</v>
      </c>
    </row>
    <row r="118" spans="1:13" ht="39" customHeight="1">
      <c r="A118" s="257"/>
      <c r="B118" s="1291" t="s">
        <v>1206</v>
      </c>
      <c r="C118" s="1327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D118" s="1226" t="s">
        <v>631</v>
      </c>
      <c r="E118" s="1227" t="s">
        <v>407</v>
      </c>
      <c r="F118" s="1227" t="s">
        <v>709</v>
      </c>
      <c r="G118" s="1228"/>
      <c r="H118" s="1202"/>
      <c r="I118" s="1315">
        <f>SUM(I119:I120)</f>
        <v>7555.506</v>
      </c>
      <c r="J118" s="273">
        <f>SUM(J119:J120)</f>
        <v>0</v>
      </c>
      <c r="K118" s="157">
        <f>SUM(K119:K120)</f>
        <v>3963.7</v>
      </c>
      <c r="L118" s="157">
        <f>SUM(L119:L120)</f>
        <v>7464.6</v>
      </c>
      <c r="M118" s="297">
        <f>SUM(M119:M120)</f>
        <v>0</v>
      </c>
    </row>
    <row r="119" spans="1:13" ht="24.75" customHeight="1" thickBot="1">
      <c r="A119" s="257"/>
      <c r="B119" s="1289" t="s">
        <v>201</v>
      </c>
      <c r="C119" s="1334" t="str">
        <f>'Бюд.р.'!A384</f>
        <v>Закупка товаров, работ и услуг  для государственных (муниципальных) нужд</v>
      </c>
      <c r="D119" s="1192" t="s">
        <v>631</v>
      </c>
      <c r="E119" s="1193" t="s">
        <v>407</v>
      </c>
      <c r="F119" s="1193" t="s">
        <v>709</v>
      </c>
      <c r="G119" s="1194">
        <f>'Бюд.р.'!F384</f>
        <v>200</v>
      </c>
      <c r="H119" s="1206"/>
      <c r="I119" s="1309">
        <f>'Бюд.р.'!H384</f>
        <v>7555.506</v>
      </c>
      <c r="J119" s="274">
        <v>0</v>
      </c>
      <c r="K119" s="160">
        <v>2852.2</v>
      </c>
      <c r="L119" s="160">
        <v>4871.1</v>
      </c>
      <c r="M119" s="298">
        <v>0</v>
      </c>
    </row>
    <row r="120" spans="1:13" ht="36" customHeight="1" hidden="1" thickBot="1">
      <c r="A120" s="257"/>
      <c r="B120" s="1289"/>
      <c r="C120" s="1234" t="s">
        <v>777</v>
      </c>
      <c r="D120" s="1192" t="s">
        <v>631</v>
      </c>
      <c r="E120" s="1193" t="s">
        <v>407</v>
      </c>
      <c r="F120" s="1193" t="s">
        <v>709</v>
      </c>
      <c r="G120" s="1194" t="s">
        <v>461</v>
      </c>
      <c r="H120" s="1206"/>
      <c r="I120" s="1309">
        <f>'Бюд.р.'!H388</f>
        <v>0</v>
      </c>
      <c r="J120" s="274">
        <v>0</v>
      </c>
      <c r="K120" s="160">
        <v>1111.5</v>
      </c>
      <c r="L120" s="160">
        <v>2593.5</v>
      </c>
      <c r="M120" s="298">
        <v>0</v>
      </c>
    </row>
    <row r="121" spans="1:13" ht="39" customHeight="1">
      <c r="A121" s="182" t="s">
        <v>671</v>
      </c>
      <c r="B121" s="1280" t="s">
        <v>1207</v>
      </c>
      <c r="C121" s="1327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D121" s="1226" t="s">
        <v>631</v>
      </c>
      <c r="E121" s="1227" t="s">
        <v>407</v>
      </c>
      <c r="F121" s="1227" t="s">
        <v>713</v>
      </c>
      <c r="G121" s="1228"/>
      <c r="H121" s="1239"/>
      <c r="I121" s="1315">
        <f>I122</f>
        <v>300</v>
      </c>
      <c r="J121" s="273">
        <f>J122</f>
        <v>0</v>
      </c>
      <c r="K121" s="157">
        <f>K122</f>
        <v>357.1</v>
      </c>
      <c r="L121" s="157">
        <f>L122</f>
        <v>560.5</v>
      </c>
      <c r="M121" s="297">
        <f>M122</f>
        <v>0</v>
      </c>
    </row>
    <row r="122" spans="1:13" ht="25.5" customHeight="1">
      <c r="A122" s="50" t="s">
        <v>672</v>
      </c>
      <c r="B122" s="1287" t="s">
        <v>201</v>
      </c>
      <c r="C122" s="1334" t="str">
        <f>'Бюд.р.'!A394</f>
        <v>Закупка товаров, работ и услуг  для государственных (муниципальных) нужд</v>
      </c>
      <c r="D122" s="1192" t="s">
        <v>631</v>
      </c>
      <c r="E122" s="1193" t="s">
        <v>407</v>
      </c>
      <c r="F122" s="1193" t="s">
        <v>713</v>
      </c>
      <c r="G122" s="1194">
        <f>'Бюд.р.'!F394</f>
        <v>200</v>
      </c>
      <c r="H122" s="1195"/>
      <c r="I122" s="1309">
        <f>'Бюд.р.'!H394</f>
        <v>300</v>
      </c>
      <c r="J122" s="274">
        <v>0</v>
      </c>
      <c r="K122" s="160">
        <v>357.1</v>
      </c>
      <c r="L122" s="160">
        <v>560.5</v>
      </c>
      <c r="M122" s="298">
        <v>0</v>
      </c>
    </row>
    <row r="123" spans="1:13" ht="33.75" customHeight="1" hidden="1">
      <c r="A123" s="1180"/>
      <c r="B123" s="1288" t="s">
        <v>1191</v>
      </c>
      <c r="C123" s="1327" t="s">
        <v>1045</v>
      </c>
      <c r="D123" s="1254">
        <v>968</v>
      </c>
      <c r="E123" s="1189" t="s">
        <v>407</v>
      </c>
      <c r="F123" s="1230" t="str">
        <f>F124</f>
        <v>600 03 04</v>
      </c>
      <c r="G123" s="1255"/>
      <c r="H123" s="1195"/>
      <c r="I123" s="1309">
        <f>I124</f>
        <v>0</v>
      </c>
      <c r="J123" s="274"/>
      <c r="K123" s="160"/>
      <c r="L123" s="160"/>
      <c r="M123" s="298"/>
    </row>
    <row r="124" spans="1:13" ht="26.25" customHeight="1" hidden="1">
      <c r="A124" s="1180"/>
      <c r="B124" s="1287" t="s">
        <v>1192</v>
      </c>
      <c r="C124" s="1334" t="str">
        <f>'Бюд.р.'!A401</f>
        <v>Закупка товаров, работ и услуг  для государственных (муниципальных) нужд</v>
      </c>
      <c r="D124" s="1192" t="s">
        <v>631</v>
      </c>
      <c r="E124" s="1193" t="s">
        <v>407</v>
      </c>
      <c r="F124" s="1193" t="s">
        <v>1044</v>
      </c>
      <c r="G124" s="1194">
        <f>'Бюд.р.'!F401</f>
        <v>200</v>
      </c>
      <c r="H124" s="1256"/>
      <c r="I124" s="1309">
        <f>'Бюд.р.'!H401</f>
        <v>0</v>
      </c>
      <c r="J124" s="274"/>
      <c r="K124" s="160"/>
      <c r="L124" s="160"/>
      <c r="M124" s="298"/>
    </row>
    <row r="125" spans="1:13" ht="22.5">
      <c r="A125" s="183"/>
      <c r="B125" s="1291" t="s">
        <v>1208</v>
      </c>
      <c r="C125" s="1327" t="str">
        <f>'Бюд.р.'!A405</f>
        <v>ОРГАНИЗАЦИЯ УЧЕТА ЗЕЛЕНЫХ НАСАЖДЕНИЙ ВНУТРИКВАРТАЛЬНОГО ОЗЕЛЕНЕНИЯ </v>
      </c>
      <c r="D125" s="1254">
        <v>968</v>
      </c>
      <c r="E125" s="1227" t="s">
        <v>407</v>
      </c>
      <c r="F125" s="1230" t="str">
        <f>F126</f>
        <v>600 03 05</v>
      </c>
      <c r="G125" s="2644"/>
      <c r="H125" s="2635"/>
      <c r="I125" s="1315">
        <f>I126</f>
        <v>150</v>
      </c>
      <c r="J125" s="275"/>
      <c r="K125" s="205"/>
      <c r="L125" s="205"/>
      <c r="M125" s="265"/>
    </row>
    <row r="126" spans="1:13" ht="27" customHeight="1">
      <c r="A126" s="183"/>
      <c r="B126" s="1287" t="s">
        <v>201</v>
      </c>
      <c r="C126" s="1334" t="str">
        <f>'Бюд.р.'!A406</f>
        <v>Закупка товаров, работ и услуг  для государственных (муниципальных) нужд</v>
      </c>
      <c r="D126" s="1192" t="s">
        <v>631</v>
      </c>
      <c r="E126" s="1193" t="s">
        <v>407</v>
      </c>
      <c r="F126" s="1193" t="s">
        <v>1027</v>
      </c>
      <c r="G126" s="1194">
        <f>'Бюд.р.'!F406</f>
        <v>200</v>
      </c>
      <c r="H126" s="1256"/>
      <c r="I126" s="1309">
        <f>'Бюд.р.'!H406</f>
        <v>150</v>
      </c>
      <c r="J126" s="275"/>
      <c r="K126" s="205"/>
      <c r="L126" s="205"/>
      <c r="M126" s="265"/>
    </row>
    <row r="127" spans="1:13" ht="12.75" customHeight="1" hidden="1">
      <c r="A127" s="183"/>
      <c r="B127" s="1306"/>
      <c r="C127" s="1338" t="s">
        <v>1029</v>
      </c>
      <c r="D127" s="1249" t="s">
        <v>631</v>
      </c>
      <c r="E127" s="1250" t="s">
        <v>407</v>
      </c>
      <c r="F127" s="1250" t="s">
        <v>714</v>
      </c>
      <c r="G127" s="1257"/>
      <c r="H127" s="1258"/>
      <c r="I127" s="1320" t="e">
        <f>I128+I130+#REF!</f>
        <v>#REF!</v>
      </c>
      <c r="J127" s="124" t="e">
        <f>#REF!+#REF!</f>
        <v>#REF!</v>
      </c>
      <c r="K127" s="122" t="e">
        <f>#REF!+#REF!</f>
        <v>#REF!</v>
      </c>
      <c r="L127" s="122" t="e">
        <f>#REF!+#REF!</f>
        <v>#REF!</v>
      </c>
      <c r="M127" s="266" t="e">
        <f>#REF!+#REF!</f>
        <v>#REF!</v>
      </c>
    </row>
    <row r="128" spans="1:13" ht="23.25" customHeight="1">
      <c r="A128" s="183"/>
      <c r="B128" s="1291" t="s">
        <v>1209</v>
      </c>
      <c r="C128" s="1327" t="str">
        <f>'Бюд.р.'!A411</f>
        <v>СОЗДАНИЕ ЗОН ОТДЫХА, В ТОМ ЧИСЛЕ ОБУСТРОЙСТВО, СОДЕРЖАНИЕ И УБОРКА ТЕРРИТОРИЙ ДЕТСКИХ ПЛОЩАДОК</v>
      </c>
      <c r="D128" s="1226" t="s">
        <v>631</v>
      </c>
      <c r="E128" s="1227" t="s">
        <v>407</v>
      </c>
      <c r="F128" s="1227" t="s">
        <v>715</v>
      </c>
      <c r="G128" s="2644"/>
      <c r="H128" s="2635"/>
      <c r="I128" s="1315">
        <f>I129</f>
        <v>4248.240999999999</v>
      </c>
      <c r="J128" s="273">
        <f>J129</f>
        <v>0</v>
      </c>
      <c r="K128" s="157">
        <f>K129</f>
        <v>0</v>
      </c>
      <c r="L128" s="157">
        <f>L129</f>
        <v>0</v>
      </c>
      <c r="M128" s="297">
        <f>M129</f>
        <v>0</v>
      </c>
    </row>
    <row r="129" spans="1:13" ht="25.5" customHeight="1">
      <c r="A129" s="183"/>
      <c r="B129" s="1287" t="s">
        <v>201</v>
      </c>
      <c r="C129" s="1334" t="str">
        <f>'Бюд.р.'!A412</f>
        <v>Закупка товаров, работ и услуг  для государственных (муниципальных) нужд</v>
      </c>
      <c r="D129" s="1192" t="s">
        <v>631</v>
      </c>
      <c r="E129" s="1193" t="s">
        <v>407</v>
      </c>
      <c r="F129" s="1193" t="s">
        <v>715</v>
      </c>
      <c r="G129" s="1194">
        <f>'Бюд.р.'!F412</f>
        <v>200</v>
      </c>
      <c r="H129" s="1256"/>
      <c r="I129" s="1309">
        <f>'Бюд.р.'!H412</f>
        <v>4248.240999999999</v>
      </c>
      <c r="J129" s="274">
        <v>0</v>
      </c>
      <c r="K129" s="160">
        <v>0</v>
      </c>
      <c r="L129" s="160">
        <v>0</v>
      </c>
      <c r="M129" s="298">
        <v>0</v>
      </c>
    </row>
    <row r="130" spans="1:13" ht="23.25" customHeight="1">
      <c r="A130" s="183"/>
      <c r="B130" s="1291" t="s">
        <v>1210</v>
      </c>
      <c r="C130" s="1327" t="str">
        <f>'Бюд.р.'!A419</f>
        <v>ОБУСТРОЙСТВО, СОДЕРЖАНИЕ И УБОРКА ТЕРРИТОРИЙ СПОРТИВНЫХ ПЛОЩАДОК</v>
      </c>
      <c r="D130" s="1226" t="s">
        <v>631</v>
      </c>
      <c r="E130" s="1227" t="s">
        <v>407</v>
      </c>
      <c r="F130" s="1227" t="s">
        <v>730</v>
      </c>
      <c r="G130" s="2644"/>
      <c r="H130" s="2635"/>
      <c r="I130" s="1315">
        <f>I131</f>
        <v>1439.434</v>
      </c>
      <c r="J130" s="274"/>
      <c r="K130" s="160"/>
      <c r="L130" s="160"/>
      <c r="M130" s="298"/>
    </row>
    <row r="131" spans="1:13" ht="24.75" customHeight="1" thickBot="1">
      <c r="A131" s="183"/>
      <c r="B131" s="1287" t="s">
        <v>201</v>
      </c>
      <c r="C131" s="1334" t="str">
        <f>'Бюд.р.'!A420</f>
        <v>Закупка товаров, работ и услуг  для государственных (муниципальных) нужд</v>
      </c>
      <c r="D131" s="1192" t="s">
        <v>631</v>
      </c>
      <c r="E131" s="1193" t="s">
        <v>407</v>
      </c>
      <c r="F131" s="1193" t="s">
        <v>730</v>
      </c>
      <c r="G131" s="1194">
        <f>'Бюд.р.'!F420</f>
        <v>200</v>
      </c>
      <c r="H131" s="1256"/>
      <c r="I131" s="1309">
        <f>'Бюд.р.'!H420</f>
        <v>1439.434</v>
      </c>
      <c r="J131" s="274"/>
      <c r="K131" s="160"/>
      <c r="L131" s="160"/>
      <c r="M131" s="298"/>
    </row>
    <row r="132" spans="1:13" ht="14.25" customHeight="1" thickBot="1">
      <c r="A132" s="183"/>
      <c r="B132" s="2594" t="s">
        <v>326</v>
      </c>
      <c r="C132" s="2595" t="str">
        <f>'Бюд.р.'!A439</f>
        <v>ОБРАЗОВАНИЕ</v>
      </c>
      <c r="D132" s="2596">
        <v>968</v>
      </c>
      <c r="E132" s="2614" t="s">
        <v>379</v>
      </c>
      <c r="F132" s="2597"/>
      <c r="G132" s="2598"/>
      <c r="H132" s="2599"/>
      <c r="I132" s="2600">
        <f>I133+I138+I149</f>
        <v>4911.45</v>
      </c>
      <c r="J132" s="274"/>
      <c r="K132" s="160"/>
      <c r="L132" s="160"/>
      <c r="M132" s="298"/>
    </row>
    <row r="133" spans="1:13" ht="27.75" customHeight="1">
      <c r="A133" s="183"/>
      <c r="B133" s="2601" t="s">
        <v>721</v>
      </c>
      <c r="C133" s="2613" t="str">
        <f>'Бюд.р.'!A440</f>
        <v>Профессиональная подготовка, переподготовка и повышение квалификации
</v>
      </c>
      <c r="D133" s="2609">
        <v>968</v>
      </c>
      <c r="E133" s="2612" t="s">
        <v>1054</v>
      </c>
      <c r="F133" s="2242"/>
      <c r="G133" s="2610"/>
      <c r="H133" s="2611"/>
      <c r="I133" s="2243">
        <f>I134+I136</f>
        <v>255</v>
      </c>
      <c r="J133" s="274"/>
      <c r="K133" s="160"/>
      <c r="L133" s="160"/>
      <c r="M133" s="298"/>
    </row>
    <row r="134" spans="1:13" ht="36.75" customHeight="1">
      <c r="A134" s="183"/>
      <c r="B134" s="1291" t="s">
        <v>98</v>
      </c>
      <c r="C134" s="1323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D134" s="1226" t="s">
        <v>631</v>
      </c>
      <c r="E134" s="1227" t="s">
        <v>1054</v>
      </c>
      <c r="F134" s="1227" t="str">
        <f>'Бюд.р.'!D443</f>
        <v>428 01 01</v>
      </c>
      <c r="G134" s="1228"/>
      <c r="H134" s="1239"/>
      <c r="I134" s="1315">
        <f>I135</f>
        <v>17</v>
      </c>
      <c r="J134" s="279"/>
      <c r="K134" s="264"/>
      <c r="L134" s="264"/>
      <c r="M134" s="302"/>
    </row>
    <row r="135" spans="1:13" ht="15.75" customHeight="1">
      <c r="A135" s="183"/>
      <c r="B135" s="1287" t="s">
        <v>201</v>
      </c>
      <c r="C135" s="1334" t="str">
        <f>'Бюд.р.'!A445</f>
        <v>Прочая закупка товаров, работ и услуг для муниципальных нужд</v>
      </c>
      <c r="D135" s="1192" t="s">
        <v>631</v>
      </c>
      <c r="E135" s="2101" t="s">
        <v>1054</v>
      </c>
      <c r="F135" s="1193" t="str">
        <f>'Бюд.р.'!D445</f>
        <v>428 01 01</v>
      </c>
      <c r="G135" s="1194">
        <f>'Бюд.р.'!F444</f>
        <v>200</v>
      </c>
      <c r="H135" s="1195"/>
      <c r="I135" s="1309">
        <f>'Бюд.р.'!H445</f>
        <v>17</v>
      </c>
      <c r="J135" s="279"/>
      <c r="K135" s="264"/>
      <c r="L135" s="264"/>
      <c r="M135" s="302"/>
    </row>
    <row r="136" spans="1:13" ht="36.75" customHeight="1">
      <c r="A136" s="183"/>
      <c r="B136" s="1291" t="s">
        <v>1247</v>
      </c>
      <c r="C136" s="1327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D136" s="1226" t="s">
        <v>631</v>
      </c>
      <c r="E136" s="2474" t="s">
        <v>1054</v>
      </c>
      <c r="F136" s="1227" t="str">
        <f>'Бюд.р.'!D448</f>
        <v>428 01 02</v>
      </c>
      <c r="G136" s="1228"/>
      <c r="H136" s="1239"/>
      <c r="I136" s="1315">
        <f>I137</f>
        <v>238</v>
      </c>
      <c r="J136" s="279"/>
      <c r="K136" s="264"/>
      <c r="L136" s="264"/>
      <c r="M136" s="302"/>
    </row>
    <row r="137" spans="1:13" ht="15" customHeight="1">
      <c r="A137" s="183"/>
      <c r="B137" s="1287" t="s">
        <v>201</v>
      </c>
      <c r="C137" s="1334" t="str">
        <f>'Бюд.р.'!A449</f>
        <v>Закупка товаров, работ и услуг  для государственных (муниципальных) нужд</v>
      </c>
      <c r="D137" s="1192" t="s">
        <v>631</v>
      </c>
      <c r="E137" s="2101" t="s">
        <v>1054</v>
      </c>
      <c r="F137" s="1193" t="str">
        <f>'Бюд.р.'!D450</f>
        <v>428 01 02</v>
      </c>
      <c r="G137" s="1194">
        <f>'Бюд.р.'!F449</f>
        <v>200</v>
      </c>
      <c r="H137" s="1195"/>
      <c r="I137" s="1309">
        <f>'Бюд.р.'!H449</f>
        <v>238</v>
      </c>
      <c r="J137" s="279"/>
      <c r="K137" s="264"/>
      <c r="L137" s="264"/>
      <c r="M137" s="302"/>
    </row>
    <row r="138" spans="1:13" ht="15.75" customHeight="1">
      <c r="A138" s="183"/>
      <c r="B138" s="2615" t="s">
        <v>781</v>
      </c>
      <c r="C138" s="2602" t="s">
        <v>378</v>
      </c>
      <c r="D138" s="2603" t="s">
        <v>631</v>
      </c>
      <c r="E138" s="2604" t="s">
        <v>380</v>
      </c>
      <c r="F138" s="2616"/>
      <c r="G138" s="2617"/>
      <c r="H138" s="2618"/>
      <c r="I138" s="2607">
        <f>I139+I141+I143+I145+I147</f>
        <v>4519.95</v>
      </c>
      <c r="J138" s="272">
        <f>J143+J145</f>
        <v>585</v>
      </c>
      <c r="K138" s="123">
        <f>K143+K145</f>
        <v>667</v>
      </c>
      <c r="L138" s="123">
        <f>L143+L145</f>
        <v>485</v>
      </c>
      <c r="M138" s="296">
        <f>M143+M145</f>
        <v>1170</v>
      </c>
    </row>
    <row r="139" spans="1:13" ht="36.75" customHeight="1">
      <c r="A139" s="183"/>
      <c r="B139" s="1291" t="s">
        <v>472</v>
      </c>
      <c r="C139" s="1323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139" s="1226" t="s">
        <v>631</v>
      </c>
      <c r="E139" s="1227" t="s">
        <v>380</v>
      </c>
      <c r="F139" s="1227" t="str">
        <f>'Бюд.р.'!D458</f>
        <v>795 01 00</v>
      </c>
      <c r="G139" s="1228"/>
      <c r="H139" s="1239"/>
      <c r="I139" s="1315">
        <f>I140</f>
        <v>877.5</v>
      </c>
      <c r="J139" s="272"/>
      <c r="K139" s="123"/>
      <c r="L139" s="123"/>
      <c r="M139" s="296"/>
    </row>
    <row r="140" spans="1:13" ht="15.75" customHeight="1">
      <c r="A140" s="183"/>
      <c r="B140" s="1287" t="s">
        <v>201</v>
      </c>
      <c r="C140" s="1334" t="str">
        <f>'Бюд.р.'!A455</f>
        <v>Закупка товаров, работ и услуг  для государственных (муниципальных) нужд</v>
      </c>
      <c r="D140" s="1192" t="s">
        <v>631</v>
      </c>
      <c r="E140" s="1193" t="s">
        <v>380</v>
      </c>
      <c r="F140" s="1193" t="str">
        <f>'Бюд.р.'!D459</f>
        <v>795 01 00</v>
      </c>
      <c r="G140" s="1194">
        <f>'Бюд.р.'!G457</f>
        <v>200</v>
      </c>
      <c r="H140" s="1195"/>
      <c r="I140" s="1309">
        <f>'Бюд.р.'!H457</f>
        <v>877.5</v>
      </c>
      <c r="J140" s="272"/>
      <c r="K140" s="123"/>
      <c r="L140" s="123"/>
      <c r="M140" s="296"/>
    </row>
    <row r="141" spans="1:13" ht="49.5" customHeight="1">
      <c r="A141" s="183"/>
      <c r="B141" s="1291" t="s">
        <v>1217</v>
      </c>
      <c r="C141" s="1327" t="str">
        <f>'Бюд.р.'!A460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41" s="1226">
        <f>'Бюд.р.'!B460</f>
        <v>968</v>
      </c>
      <c r="E141" s="1227">
        <f>'Бюд.р.'!C460</f>
        <v>707</v>
      </c>
      <c r="F141" s="1227" t="str">
        <f>'Бюд.р.'!D460</f>
        <v>795 04 00</v>
      </c>
      <c r="G141" s="1228"/>
      <c r="H141" s="1239"/>
      <c r="I141" s="1315">
        <f>I142</f>
        <v>185</v>
      </c>
      <c r="J141" s="272"/>
      <c r="K141" s="123"/>
      <c r="L141" s="123"/>
      <c r="M141" s="296"/>
    </row>
    <row r="142" spans="1:13" ht="15.75" customHeight="1">
      <c r="A142" s="183"/>
      <c r="B142" s="1287"/>
      <c r="C142" s="1334" t="str">
        <f>'Бюд.р.'!A461</f>
        <v>Закупка товаров, работ и услуг  для государственных (муниципальных) нужд</v>
      </c>
      <c r="D142" s="1192">
        <f>'Бюд.р.'!B461</f>
        <v>968</v>
      </c>
      <c r="E142" s="1193">
        <f>'Бюд.р.'!C461</f>
        <v>707</v>
      </c>
      <c r="F142" s="1193" t="str">
        <f>'Бюд.р.'!D461</f>
        <v>795 04 00</v>
      </c>
      <c r="G142" s="1194">
        <f>'Бюд.р.'!F461</f>
        <v>200</v>
      </c>
      <c r="H142" s="1195"/>
      <c r="I142" s="1309">
        <f>'Бюд.р.'!H460</f>
        <v>185</v>
      </c>
      <c r="J142" s="272"/>
      <c r="K142" s="123"/>
      <c r="L142" s="123"/>
      <c r="M142" s="296"/>
    </row>
    <row r="143" spans="1:13" ht="23.25" customHeight="1">
      <c r="A143" s="184" t="s">
        <v>280</v>
      </c>
      <c r="B143" s="1291" t="s">
        <v>1346</v>
      </c>
      <c r="C143" s="1323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D143" s="1226" t="s">
        <v>631</v>
      </c>
      <c r="E143" s="1227" t="s">
        <v>380</v>
      </c>
      <c r="F143" s="1227" t="str">
        <f>'Бюд.р.'!D465</f>
        <v>795 08 00</v>
      </c>
      <c r="G143" s="1228"/>
      <c r="H143" s="1239"/>
      <c r="I143" s="1315">
        <f>I144</f>
        <v>1545.45</v>
      </c>
      <c r="J143" s="273">
        <f>J144</f>
        <v>90</v>
      </c>
      <c r="K143" s="157">
        <f>K144</f>
        <v>479</v>
      </c>
      <c r="L143" s="157">
        <f>L144</f>
        <v>485</v>
      </c>
      <c r="M143" s="297">
        <f>M144</f>
        <v>310</v>
      </c>
    </row>
    <row r="144" spans="1:13" ht="24.75" customHeight="1">
      <c r="A144" s="50" t="s">
        <v>198</v>
      </c>
      <c r="B144" s="1287" t="s">
        <v>201</v>
      </c>
      <c r="C144" s="1334" t="str">
        <f>'Бюд.р.'!A466</f>
        <v>Закупка товаров, работ и услуг  для государственных (муниципальных) нужд</v>
      </c>
      <c r="D144" s="1192" t="s">
        <v>631</v>
      </c>
      <c r="E144" s="1193" t="s">
        <v>380</v>
      </c>
      <c r="F144" s="1193" t="str">
        <f>'Бюд.р.'!D466</f>
        <v>795 08 00</v>
      </c>
      <c r="G144" s="1194">
        <f>'Бюд.р.'!F466</f>
        <v>200</v>
      </c>
      <c r="H144" s="1195"/>
      <c r="I144" s="1309">
        <f>'Бюд.р.'!H466</f>
        <v>1545.45</v>
      </c>
      <c r="J144" s="274">
        <v>90</v>
      </c>
      <c r="K144" s="160">
        <v>479</v>
      </c>
      <c r="L144" s="160">
        <v>485</v>
      </c>
      <c r="M144" s="298">
        <v>310</v>
      </c>
    </row>
    <row r="145" spans="1:13" ht="22.5" customHeight="1">
      <c r="A145" s="184" t="s">
        <v>268</v>
      </c>
      <c r="B145" s="1291" t="s">
        <v>1347</v>
      </c>
      <c r="C145" s="1323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D145" s="1226" t="s">
        <v>631</v>
      </c>
      <c r="E145" s="1227" t="s">
        <v>380</v>
      </c>
      <c r="F145" s="1227" t="str">
        <f>'Бюд.р.'!D473</f>
        <v>795 06 00</v>
      </c>
      <c r="G145" s="1228"/>
      <c r="H145" s="1239"/>
      <c r="I145" s="1315">
        <f>I146</f>
        <v>1812</v>
      </c>
      <c r="J145" s="273">
        <f>J146</f>
        <v>495</v>
      </c>
      <c r="K145" s="157">
        <f>K146</f>
        <v>188</v>
      </c>
      <c r="L145" s="157">
        <f>L146</f>
        <v>0</v>
      </c>
      <c r="M145" s="297">
        <f>M146</f>
        <v>860</v>
      </c>
    </row>
    <row r="146" spans="1:13" ht="27" customHeight="1">
      <c r="A146" s="50" t="s">
        <v>728</v>
      </c>
      <c r="B146" s="1287" t="s">
        <v>201</v>
      </c>
      <c r="C146" s="1334" t="str">
        <f>'Бюд.р.'!A474</f>
        <v>Закупка товаров, работ и услуг  для государственных (муниципальных) нужд</v>
      </c>
      <c r="D146" s="1192" t="s">
        <v>631</v>
      </c>
      <c r="E146" s="1193" t="s">
        <v>380</v>
      </c>
      <c r="F146" s="1193" t="str">
        <f>'Бюд.р.'!D474</f>
        <v>795 06 00</v>
      </c>
      <c r="G146" s="1194">
        <f>'Бюд.р.'!F474</f>
        <v>200</v>
      </c>
      <c r="H146" s="1195"/>
      <c r="I146" s="1309">
        <f>'Бюд.р.'!H475</f>
        <v>1812</v>
      </c>
      <c r="J146" s="274">
        <v>495</v>
      </c>
      <c r="K146" s="160">
        <v>188</v>
      </c>
      <c r="L146" s="160">
        <v>0</v>
      </c>
      <c r="M146" s="298">
        <v>860</v>
      </c>
    </row>
    <row r="147" spans="1:13" ht="46.5" customHeight="1">
      <c r="A147" s="2593"/>
      <c r="B147" s="1291" t="s">
        <v>1348</v>
      </c>
      <c r="C147" s="1323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47" s="1226" t="s">
        <v>631</v>
      </c>
      <c r="E147" s="1227" t="s">
        <v>380</v>
      </c>
      <c r="F147" s="1227" t="str">
        <f>F148</f>
        <v>795 05 00</v>
      </c>
      <c r="G147" s="1228"/>
      <c r="H147" s="1239"/>
      <c r="I147" s="1315">
        <f>I148</f>
        <v>100</v>
      </c>
      <c r="J147" s="274"/>
      <c r="K147" s="160"/>
      <c r="L147" s="160"/>
      <c r="M147" s="298"/>
    </row>
    <row r="148" spans="1:13" ht="27" customHeight="1">
      <c r="A148" s="2593"/>
      <c r="B148" s="1287" t="s">
        <v>201</v>
      </c>
      <c r="C148" s="1334" t="str">
        <f>'Бюд.р.'!A483</f>
        <v>Закупка товаров, работ и услуг  для государственных (муниципальных) нужд</v>
      </c>
      <c r="D148" s="1192" t="s">
        <v>631</v>
      </c>
      <c r="E148" s="1193" t="s">
        <v>380</v>
      </c>
      <c r="F148" s="1193" t="str">
        <f>'Бюд.р.'!D483</f>
        <v>795 05 00</v>
      </c>
      <c r="G148" s="1194">
        <f>'Бюд.р.'!F483</f>
        <v>200</v>
      </c>
      <c r="H148" s="1195"/>
      <c r="I148" s="1309">
        <f>'Бюд.р.'!H483</f>
        <v>100</v>
      </c>
      <c r="J148" s="274"/>
      <c r="K148" s="160"/>
      <c r="L148" s="160"/>
      <c r="M148" s="298"/>
    </row>
    <row r="149" spans="1:13" ht="15">
      <c r="A149" s="186"/>
      <c r="B149" s="2619" t="s">
        <v>12</v>
      </c>
      <c r="C149" s="2620" t="s">
        <v>10</v>
      </c>
      <c r="D149" s="2609" t="s">
        <v>631</v>
      </c>
      <c r="E149" s="2242" t="s">
        <v>14</v>
      </c>
      <c r="F149" s="2616"/>
      <c r="G149" s="2621"/>
      <c r="H149" s="2622"/>
      <c r="I149" s="2243">
        <f>I150+I152</f>
        <v>136.5</v>
      </c>
      <c r="J149" s="275"/>
      <c r="K149" s="205"/>
      <c r="L149" s="205"/>
      <c r="M149" s="265"/>
    </row>
    <row r="150" spans="1:13" ht="34.5" customHeight="1">
      <c r="A150" s="186"/>
      <c r="B150" s="1291" t="s">
        <v>13</v>
      </c>
      <c r="C150" s="1327" t="str">
        <f>'Бюд.р.'!A490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150" s="1226" t="s">
        <v>631</v>
      </c>
      <c r="E150" s="1227" t="s">
        <v>14</v>
      </c>
      <c r="F150" s="1227" t="s">
        <v>420</v>
      </c>
      <c r="G150" s="1228"/>
      <c r="H150" s="1239"/>
      <c r="I150" s="1315">
        <f>I151</f>
        <v>30</v>
      </c>
      <c r="J150" s="275"/>
      <c r="K150" s="205"/>
      <c r="L150" s="205"/>
      <c r="M150" s="265"/>
    </row>
    <row r="151" spans="1:13" ht="25.5" customHeight="1">
      <c r="A151" s="186"/>
      <c r="B151" s="1290" t="s">
        <v>201</v>
      </c>
      <c r="C151" s="1334" t="str">
        <f>'Бюд.р.'!A491</f>
        <v>Закупка товаров, работ и услуг  для государственных (муниципальных) нужд</v>
      </c>
      <c r="D151" s="1243" t="s">
        <v>631</v>
      </c>
      <c r="E151" s="1244" t="s">
        <v>14</v>
      </c>
      <c r="F151" s="1244" t="s">
        <v>420</v>
      </c>
      <c r="G151" s="1245">
        <f>'Бюд.р.'!F491</f>
        <v>200</v>
      </c>
      <c r="H151" s="1246"/>
      <c r="I151" s="1318">
        <f>'Бюд.р.'!H491</f>
        <v>30</v>
      </c>
      <c r="J151" s="275"/>
      <c r="K151" s="205"/>
      <c r="L151" s="205"/>
      <c r="M151" s="265"/>
    </row>
    <row r="152" spans="1:13" ht="36" customHeight="1">
      <c r="A152" s="186"/>
      <c r="B152" s="1291" t="s">
        <v>1218</v>
      </c>
      <c r="C152" s="1327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52" s="1226" t="s">
        <v>631</v>
      </c>
      <c r="E152" s="1227" t="s">
        <v>14</v>
      </c>
      <c r="F152" s="1227" t="s">
        <v>151</v>
      </c>
      <c r="G152" s="1228"/>
      <c r="H152" s="1239"/>
      <c r="I152" s="1315">
        <f>I153</f>
        <v>106.5</v>
      </c>
      <c r="J152" s="275"/>
      <c r="K152" s="205"/>
      <c r="L152" s="205"/>
      <c r="M152" s="265"/>
    </row>
    <row r="153" spans="1:13" ht="27.75" customHeight="1" thickBot="1">
      <c r="A153" s="186"/>
      <c r="B153" s="1290" t="s">
        <v>201</v>
      </c>
      <c r="C153" s="1339" t="str">
        <f>'Бюд.р.'!A500</f>
        <v>Закупка товаров, работ и услуг  для государственных (муниципальных) нужд</v>
      </c>
      <c r="D153" s="1243" t="s">
        <v>631</v>
      </c>
      <c r="E153" s="1244" t="s">
        <v>14</v>
      </c>
      <c r="F153" s="1244" t="s">
        <v>151</v>
      </c>
      <c r="G153" s="1245">
        <f>'Бюд.р.'!F500</f>
        <v>200</v>
      </c>
      <c r="H153" s="1246"/>
      <c r="I153" s="1318">
        <f>'Бюд.р.'!H500</f>
        <v>106.5</v>
      </c>
      <c r="J153" s="275"/>
      <c r="K153" s="205"/>
      <c r="L153" s="205"/>
      <c r="M153" s="265"/>
    </row>
    <row r="154" spans="1:13" ht="19.5" customHeight="1" thickBot="1">
      <c r="A154" s="186"/>
      <c r="B154" s="2627" t="s">
        <v>327</v>
      </c>
      <c r="C154" s="2628" t="str">
        <f>'Бюд.р.'!A505</f>
        <v>КУЛЬТУРА, КИНЕМАТОГРАФИЯ </v>
      </c>
      <c r="D154" s="2596" t="s">
        <v>631</v>
      </c>
      <c r="E154" s="2614" t="s">
        <v>383</v>
      </c>
      <c r="F154" s="2629"/>
      <c r="G154" s="2630"/>
      <c r="H154" s="2631"/>
      <c r="I154" s="2600">
        <f>I155+I158</f>
        <v>13024.315999999999</v>
      </c>
      <c r="J154" s="275"/>
      <c r="K154" s="205"/>
      <c r="L154" s="205"/>
      <c r="M154" s="265"/>
    </row>
    <row r="155" spans="1:13" ht="14.25" customHeight="1">
      <c r="A155" s="186"/>
      <c r="B155" s="2615" t="s">
        <v>722</v>
      </c>
      <c r="C155" s="2626" t="str">
        <f>'Бюд.р.'!A506</f>
        <v>Культура</v>
      </c>
      <c r="D155" s="2603">
        <v>968</v>
      </c>
      <c r="E155" s="2624" t="s">
        <v>384</v>
      </c>
      <c r="F155" s="2616"/>
      <c r="G155" s="2617"/>
      <c r="H155" s="2618"/>
      <c r="I155" s="2607">
        <f>I156</f>
        <v>10822.586</v>
      </c>
      <c r="J155" s="275"/>
      <c r="K155" s="205"/>
      <c r="L155" s="205"/>
      <c r="M155" s="265"/>
    </row>
    <row r="156" spans="1:13" ht="54.75" customHeight="1">
      <c r="A156" s="186"/>
      <c r="B156" s="1291" t="s">
        <v>99</v>
      </c>
      <c r="C156" s="1253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156" s="1226" t="s">
        <v>631</v>
      </c>
      <c r="E156" s="1260" t="s">
        <v>384</v>
      </c>
      <c r="F156" s="1260" t="str">
        <f>'Бюд.р.'!D507</f>
        <v>795 09 00</v>
      </c>
      <c r="G156" s="2645"/>
      <c r="H156" s="2635"/>
      <c r="I156" s="1315">
        <f>I157</f>
        <v>10822.586</v>
      </c>
      <c r="J156" s="273">
        <f>J157</f>
        <v>849</v>
      </c>
      <c r="K156" s="157">
        <f>K157</f>
        <v>707</v>
      </c>
      <c r="L156" s="157">
        <f>L157</f>
        <v>197</v>
      </c>
      <c r="M156" s="297">
        <f>M157</f>
        <v>253</v>
      </c>
    </row>
    <row r="157" spans="1:13" ht="24.75" customHeight="1">
      <c r="A157" s="186"/>
      <c r="B157" s="1290" t="s">
        <v>201</v>
      </c>
      <c r="C157" s="1334" t="str">
        <f>'Бюд.р.'!A508</f>
        <v>Закупка товаров, работ и услуг  для государственных (муниципальных) нужд</v>
      </c>
      <c r="D157" s="1192" t="s">
        <v>631</v>
      </c>
      <c r="E157" s="1193" t="s">
        <v>384</v>
      </c>
      <c r="F157" s="1193" t="str">
        <f>'Бюд.р.'!D508</f>
        <v>795 09 00</v>
      </c>
      <c r="G157" s="1194">
        <f>'Бюд.р.'!F508</f>
        <v>200</v>
      </c>
      <c r="H157" s="1256"/>
      <c r="I157" s="1309">
        <f>'Бюд.р.'!H508</f>
        <v>10822.586</v>
      </c>
      <c r="J157" s="274">
        <v>849</v>
      </c>
      <c r="K157" s="160">
        <v>707</v>
      </c>
      <c r="L157" s="160">
        <v>197</v>
      </c>
      <c r="M157" s="298">
        <v>253</v>
      </c>
    </row>
    <row r="158" spans="1:13" ht="24.75" customHeight="1">
      <c r="A158" s="186"/>
      <c r="B158" s="2619" t="s">
        <v>782</v>
      </c>
      <c r="C158" s="2620" t="str">
        <f>'Бюд.р.'!A515</f>
        <v>Другие вопросы в области культуры, кинематографии</v>
      </c>
      <c r="D158" s="2609">
        <v>968</v>
      </c>
      <c r="E158" s="2612" t="s">
        <v>1269</v>
      </c>
      <c r="F158" s="2616"/>
      <c r="G158" s="2621"/>
      <c r="H158" s="2622"/>
      <c r="I158" s="2243">
        <f>I159+I161</f>
        <v>2201.73</v>
      </c>
      <c r="J158" s="274"/>
      <c r="K158" s="160"/>
      <c r="L158" s="160"/>
      <c r="M158" s="298"/>
    </row>
    <row r="159" spans="1:13" ht="25.5" customHeight="1">
      <c r="A159" s="186"/>
      <c r="B159" s="1291" t="s">
        <v>6</v>
      </c>
      <c r="C159" s="1253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D159" s="1226" t="s">
        <v>631</v>
      </c>
      <c r="E159" s="2646" t="s">
        <v>1269</v>
      </c>
      <c r="F159" s="1260" t="s">
        <v>1132</v>
      </c>
      <c r="G159" s="2645"/>
      <c r="H159" s="2635"/>
      <c r="I159" s="1315">
        <f>I160</f>
        <v>1969</v>
      </c>
      <c r="J159" s="274"/>
      <c r="K159" s="160"/>
      <c r="L159" s="160"/>
      <c r="M159" s="298"/>
    </row>
    <row r="160" spans="1:13" ht="22.5" customHeight="1">
      <c r="A160" s="186"/>
      <c r="B160" s="1290" t="s">
        <v>201</v>
      </c>
      <c r="C160" s="1334" t="str">
        <f>'Бюд.р.'!A517</f>
        <v>Закупка товаров, работ и услуг  для государственных (муниципальных) нужд</v>
      </c>
      <c r="D160" s="1192" t="s">
        <v>631</v>
      </c>
      <c r="E160" s="2101" t="s">
        <v>1269</v>
      </c>
      <c r="F160" s="1193" t="s">
        <v>1132</v>
      </c>
      <c r="G160" s="1194">
        <f>'Бюд.р.'!F517</f>
        <v>200</v>
      </c>
      <c r="H160" s="1256"/>
      <c r="I160" s="1309">
        <f>'Бюд.р.'!H517</f>
        <v>1969</v>
      </c>
      <c r="J160" s="274"/>
      <c r="K160" s="160"/>
      <c r="L160" s="160"/>
      <c r="M160" s="298"/>
    </row>
    <row r="161" spans="1:13" ht="23.25" customHeight="1">
      <c r="A161" s="186"/>
      <c r="B161" s="1291" t="s">
        <v>1349</v>
      </c>
      <c r="C161" s="1253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D161" s="1226" t="s">
        <v>631</v>
      </c>
      <c r="E161" s="2646" t="s">
        <v>1269</v>
      </c>
      <c r="F161" s="1260" t="str">
        <f>F162</f>
        <v>795 08 00</v>
      </c>
      <c r="G161" s="2645"/>
      <c r="H161" s="2635"/>
      <c r="I161" s="1315">
        <f>I162</f>
        <v>232.73000000000002</v>
      </c>
      <c r="J161" s="274"/>
      <c r="K161" s="160"/>
      <c r="L161" s="160"/>
      <c r="M161" s="298"/>
    </row>
    <row r="162" spans="1:13" ht="22.5" customHeight="1" thickBot="1">
      <c r="A162" s="186"/>
      <c r="B162" s="1290" t="s">
        <v>201</v>
      </c>
      <c r="C162" s="1339" t="str">
        <f>'Бюд.р.'!A523</f>
        <v>Закупка товаров, работ и услуг  для государственных (муниципальных) нужд</v>
      </c>
      <c r="D162" s="1243" t="s">
        <v>631</v>
      </c>
      <c r="E162" s="2473" t="s">
        <v>1269</v>
      </c>
      <c r="F162" s="1244" t="str">
        <f>'Бюд.р.'!D523</f>
        <v>795 08 00</v>
      </c>
      <c r="G162" s="1245">
        <f>'Бюд.р.'!F523</f>
        <v>200</v>
      </c>
      <c r="H162" s="2632"/>
      <c r="I162" s="1318">
        <f>'Бюд.р.'!H525</f>
        <v>232.73000000000002</v>
      </c>
      <c r="J162" s="274"/>
      <c r="K162" s="160"/>
      <c r="L162" s="160"/>
      <c r="M162" s="298"/>
    </row>
    <row r="163" spans="1:13" ht="18" customHeight="1" thickBot="1">
      <c r="A163" s="186"/>
      <c r="B163" s="2627" t="s">
        <v>328</v>
      </c>
      <c r="C163" s="2628" t="str">
        <f>'Бюд.р.'!A527</f>
        <v>СОЦИАЛЬНАЯ ПОЛИТИКА</v>
      </c>
      <c r="D163" s="2596" t="s">
        <v>631</v>
      </c>
      <c r="E163" s="2614" t="s">
        <v>323</v>
      </c>
      <c r="F163" s="2629"/>
      <c r="G163" s="2630"/>
      <c r="H163" s="2631"/>
      <c r="I163" s="2600">
        <f>I164+I167</f>
        <v>17252.9</v>
      </c>
      <c r="J163" s="274"/>
      <c r="K163" s="160"/>
      <c r="L163" s="160"/>
      <c r="M163" s="298"/>
    </row>
    <row r="164" spans="1:13" ht="17.25" customHeight="1">
      <c r="A164" s="186"/>
      <c r="B164" s="2615" t="s">
        <v>107</v>
      </c>
      <c r="C164" s="2626" t="str">
        <f>'Бюд.р.'!A528</f>
        <v>Социальное обеспечение населения</v>
      </c>
      <c r="D164" s="2603">
        <v>968</v>
      </c>
      <c r="E164" s="2624" t="s">
        <v>971</v>
      </c>
      <c r="F164" s="2616"/>
      <c r="G164" s="2617"/>
      <c r="H164" s="2618"/>
      <c r="I164" s="2607">
        <f>I165</f>
        <v>970.2</v>
      </c>
      <c r="J164" s="274"/>
      <c r="K164" s="160"/>
      <c r="L164" s="160"/>
      <c r="M164" s="298"/>
    </row>
    <row r="165" spans="1:13" ht="36" customHeight="1">
      <c r="A165" s="187"/>
      <c r="B165" s="1291" t="s">
        <v>1094</v>
      </c>
      <c r="C165" s="1327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D165" s="1226" t="s">
        <v>631</v>
      </c>
      <c r="E165" s="1260" t="s">
        <v>971</v>
      </c>
      <c r="F165" s="1230" t="s">
        <v>969</v>
      </c>
      <c r="G165" s="1358"/>
      <c r="H165" s="1195"/>
      <c r="I165" s="1315">
        <f>I166</f>
        <v>970.2</v>
      </c>
      <c r="J165" s="279"/>
      <c r="K165" s="264"/>
      <c r="L165" s="264"/>
      <c r="M165" s="302"/>
    </row>
    <row r="166" spans="1:13" ht="15.75" customHeight="1">
      <c r="A166" s="187"/>
      <c r="B166" s="1287" t="s">
        <v>201</v>
      </c>
      <c r="C166" s="1334" t="str">
        <f>'Бюд.р.'!A530</f>
        <v>Социальное обеспечение и иные выплаты населению</v>
      </c>
      <c r="D166" s="1192" t="s">
        <v>631</v>
      </c>
      <c r="E166" s="1263" t="s">
        <v>971</v>
      </c>
      <c r="F166" s="1215" t="s">
        <v>969</v>
      </c>
      <c r="G166" s="1353">
        <f>'Бюд.р.'!F530</f>
        <v>300</v>
      </c>
      <c r="H166" s="1229"/>
      <c r="I166" s="1313">
        <f>'Бюд.р.'!H530</f>
        <v>970.2</v>
      </c>
      <c r="J166" s="279"/>
      <c r="K166" s="264"/>
      <c r="L166" s="264"/>
      <c r="M166" s="302"/>
    </row>
    <row r="167" spans="1:13" ht="15.75" customHeight="1">
      <c r="A167" s="187"/>
      <c r="B167" s="2619" t="s">
        <v>1129</v>
      </c>
      <c r="C167" s="2620" t="str">
        <f>'Бюд.р.'!A534</f>
        <v>Охрана семьи и детства</v>
      </c>
      <c r="D167" s="2609">
        <v>968</v>
      </c>
      <c r="E167" s="2612" t="s">
        <v>802</v>
      </c>
      <c r="F167" s="2616"/>
      <c r="G167" s="2621"/>
      <c r="H167" s="2622"/>
      <c r="I167" s="2243">
        <f>I168+I171+I173</f>
        <v>16282.7</v>
      </c>
      <c r="J167" s="279"/>
      <c r="K167" s="279"/>
      <c r="L167" s="279"/>
      <c r="M167" s="2623"/>
    </row>
    <row r="168" spans="1:13" ht="48" customHeight="1">
      <c r="A168" s="187"/>
      <c r="B168" s="1291" t="s">
        <v>1130</v>
      </c>
      <c r="C168" s="1327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168" s="1226" t="s">
        <v>631</v>
      </c>
      <c r="E168" s="1260" t="s">
        <v>802</v>
      </c>
      <c r="F168" s="1230" t="str">
        <f>'Бюд.р.'!D537</f>
        <v>002  80 31</v>
      </c>
      <c r="G168" s="1358"/>
      <c r="H168" s="1195"/>
      <c r="I168" s="1315">
        <f>SUM(I169:I170)</f>
        <v>4515.1</v>
      </c>
      <c r="J168" s="272"/>
      <c r="K168" s="272"/>
      <c r="L168" s="272"/>
      <c r="M168" s="1058"/>
    </row>
    <row r="169" spans="1:13" ht="48" customHeight="1">
      <c r="A169" s="187"/>
      <c r="B169" s="1287" t="s">
        <v>201</v>
      </c>
      <c r="C169" s="1334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69" s="1192" t="s">
        <v>631</v>
      </c>
      <c r="E169" s="1263" t="s">
        <v>802</v>
      </c>
      <c r="F169" s="1215" t="str">
        <f>'Бюд.р.'!D537</f>
        <v>002  80 31</v>
      </c>
      <c r="G169" s="1353">
        <f>'Бюд.р.'!F536</f>
        <v>100</v>
      </c>
      <c r="H169" s="1229"/>
      <c r="I169" s="1313">
        <f>'Бюд.р.'!H536</f>
        <v>4209.1</v>
      </c>
      <c r="J169" s="272"/>
      <c r="K169" s="272"/>
      <c r="L169" s="272"/>
      <c r="M169" s="1058"/>
    </row>
    <row r="170" spans="1:13" ht="25.5" customHeight="1">
      <c r="A170" s="187"/>
      <c r="B170" s="1287" t="s">
        <v>202</v>
      </c>
      <c r="C170" s="1334" t="str">
        <f>'Бюд.р.'!A542</f>
        <v>Закупка товаров, работ и услуг  для государственных (муниципальных) нужд</v>
      </c>
      <c r="D170" s="1192">
        <f>'Бюд.р.'!B549</f>
        <v>968</v>
      </c>
      <c r="E170" s="1263">
        <f>'Бюд.р.'!C549</f>
        <v>1004</v>
      </c>
      <c r="F170" s="1215" t="str">
        <f>'Бюд.р.'!D549</f>
        <v>002 80 31</v>
      </c>
      <c r="G170" s="1353">
        <f>'Бюд.р.'!F542</f>
        <v>200</v>
      </c>
      <c r="H170" s="1229"/>
      <c r="I170" s="1313">
        <f>'Бюд.р.'!H542</f>
        <v>305.99999999999994</v>
      </c>
      <c r="J170" s="272"/>
      <c r="K170" s="272"/>
      <c r="L170" s="272"/>
      <c r="M170" s="1058"/>
    </row>
    <row r="171" spans="1:13" ht="34.5" customHeight="1">
      <c r="A171" s="187"/>
      <c r="B171" s="1291" t="s">
        <v>1221</v>
      </c>
      <c r="C171" s="1323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171" s="1226" t="s">
        <v>631</v>
      </c>
      <c r="E171" s="1260" t="s">
        <v>802</v>
      </c>
      <c r="F171" s="1260" t="str">
        <f>'Бюд.р.'!D556</f>
        <v>511 80 32</v>
      </c>
      <c r="G171" s="2645"/>
      <c r="H171" s="2635"/>
      <c r="I171" s="1315">
        <f>I172</f>
        <v>9259.8</v>
      </c>
      <c r="J171" s="273" t="e">
        <f>#REF!+#REF!</f>
        <v>#REF!</v>
      </c>
      <c r="K171" s="273" t="e">
        <f>#REF!+#REF!</f>
        <v>#REF!</v>
      </c>
      <c r="L171" s="273" t="e">
        <f>#REF!+#REF!</f>
        <v>#REF!</v>
      </c>
      <c r="M171" s="273" t="e">
        <f>#REF!+#REF!</f>
        <v>#REF!</v>
      </c>
    </row>
    <row r="172" spans="1:13" ht="12.75" customHeight="1">
      <c r="A172" s="187"/>
      <c r="B172" s="1290" t="s">
        <v>201</v>
      </c>
      <c r="C172" s="1234" t="str">
        <f>'Бюд.р.'!A557</f>
        <v>Социальное обеспечение и иные выплаты населению</v>
      </c>
      <c r="D172" s="1192" t="s">
        <v>631</v>
      </c>
      <c r="E172" s="1263" t="s">
        <v>802</v>
      </c>
      <c r="F172" s="2475" t="str">
        <f>'Бюд.р.'!D557</f>
        <v>511 80 32</v>
      </c>
      <c r="G172" s="1265">
        <f>'Бюд.р.'!F557</f>
        <v>300</v>
      </c>
      <c r="H172" s="1233"/>
      <c r="I172" s="1309">
        <f>'Бюд.р.'!H557</f>
        <v>9259.8</v>
      </c>
      <c r="J172" s="274">
        <v>1470</v>
      </c>
      <c r="K172" s="160">
        <v>1500</v>
      </c>
      <c r="L172" s="160">
        <v>1515</v>
      </c>
      <c r="M172" s="298">
        <v>1515</v>
      </c>
    </row>
    <row r="173" spans="1:13" ht="36.75" customHeight="1">
      <c r="A173" s="673"/>
      <c r="B173" s="1291" t="s">
        <v>1222</v>
      </c>
      <c r="C173" s="1323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173" s="1226" t="s">
        <v>631</v>
      </c>
      <c r="E173" s="1260" t="s">
        <v>802</v>
      </c>
      <c r="F173" s="1260" t="str">
        <f>'Бюд.р.'!D561</f>
        <v>511 80 33</v>
      </c>
      <c r="G173" s="2645"/>
      <c r="H173" s="2647"/>
      <c r="I173" s="1315">
        <f>I174</f>
        <v>2507.8</v>
      </c>
      <c r="J173" s="674"/>
      <c r="K173" s="674"/>
      <c r="L173" s="674"/>
      <c r="M173" s="253"/>
    </row>
    <row r="174" spans="1:13" ht="16.5" customHeight="1" thickBot="1">
      <c r="A174" s="673"/>
      <c r="B174" s="1290" t="s">
        <v>201</v>
      </c>
      <c r="C174" s="1340" t="str">
        <f>'Бюд.р.'!A562</f>
        <v>Социальное обеспечение и иные выплаты населению</v>
      </c>
      <c r="D174" s="1243" t="s">
        <v>631</v>
      </c>
      <c r="E174" s="1266" t="s">
        <v>802</v>
      </c>
      <c r="F174" s="2476" t="str">
        <f>'Бюд.р.'!D562</f>
        <v>511 80 33</v>
      </c>
      <c r="G174" s="1268">
        <f>'Бюд.р.'!F562</f>
        <v>300</v>
      </c>
      <c r="H174" s="1269"/>
      <c r="I174" s="1318">
        <f>'Бюд.р.'!H562</f>
        <v>2507.8</v>
      </c>
      <c r="J174" s="674"/>
      <c r="K174" s="674"/>
      <c r="L174" s="674"/>
      <c r="M174" s="253"/>
    </row>
    <row r="175" spans="1:13" ht="16.5" customHeight="1" thickBot="1">
      <c r="A175" s="673"/>
      <c r="B175" s="2627" t="s">
        <v>784</v>
      </c>
      <c r="C175" s="2628" t="str">
        <f>'Бюд.р.'!A574</f>
        <v> ФИЗИЧЕСКАЯ КУЛЬТУРА И СПОРТ</v>
      </c>
      <c r="D175" s="2596" t="s">
        <v>631</v>
      </c>
      <c r="E175" s="2614" t="s">
        <v>1334</v>
      </c>
      <c r="F175" s="2629"/>
      <c r="G175" s="2630"/>
      <c r="H175" s="2631"/>
      <c r="I175" s="2600">
        <f>I176</f>
        <v>3865.685</v>
      </c>
      <c r="J175" s="674"/>
      <c r="K175" s="674"/>
      <c r="L175" s="674"/>
      <c r="M175" s="253"/>
    </row>
    <row r="176" spans="1:13" ht="16.5" customHeight="1">
      <c r="A176" s="673"/>
      <c r="B176" s="2615" t="s">
        <v>100</v>
      </c>
      <c r="C176" s="2626" t="str">
        <f>'Бюд.р.'!A575</f>
        <v>Массовый спорт</v>
      </c>
      <c r="D176" s="2603">
        <v>968</v>
      </c>
      <c r="E176" s="2624" t="s">
        <v>1335</v>
      </c>
      <c r="F176" s="2616"/>
      <c r="G176" s="2617"/>
      <c r="H176" s="2618"/>
      <c r="I176" s="2607">
        <f>I177</f>
        <v>3865.685</v>
      </c>
      <c r="J176" s="674"/>
      <c r="K176" s="674"/>
      <c r="L176" s="674"/>
      <c r="M176" s="253"/>
    </row>
    <row r="177" spans="1:13" ht="72" customHeight="1" thickBot="1">
      <c r="A177" s="334"/>
      <c r="B177" s="1291" t="s">
        <v>1095</v>
      </c>
      <c r="C177" s="1327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D177" s="1254">
        <v>968</v>
      </c>
      <c r="E177" s="1230">
        <v>1102</v>
      </c>
      <c r="F177" s="1230" t="str">
        <f>'Бюд.р.'!D576</f>
        <v>795 10 00</v>
      </c>
      <c r="G177" s="1358"/>
      <c r="H177" s="2648"/>
      <c r="I177" s="1315">
        <f>I178</f>
        <v>3865.685</v>
      </c>
      <c r="J177" s="303"/>
      <c r="K177" s="303"/>
      <c r="L177" s="303"/>
      <c r="M177" s="435"/>
    </row>
    <row r="178" spans="1:13" ht="24" customHeight="1" thickBot="1">
      <c r="A178" s="334"/>
      <c r="B178" s="1290" t="s">
        <v>201</v>
      </c>
      <c r="C178" s="1339" t="str">
        <f>'Бюд.р.'!A577</f>
        <v>Закупка товаров, работ и услуг  для государственных (муниципальных) нужд</v>
      </c>
      <c r="D178" s="1356">
        <v>968</v>
      </c>
      <c r="E178" s="1222">
        <v>1102</v>
      </c>
      <c r="F178" s="1222" t="str">
        <f>'Бюд.р.'!D577</f>
        <v>795 10 00</v>
      </c>
      <c r="G178" s="1357">
        <f>'Бюд.р.'!F577</f>
        <v>200</v>
      </c>
      <c r="H178" s="1412"/>
      <c r="I178" s="1277">
        <f>'Бюд.р.'!H577</f>
        <v>3865.685</v>
      </c>
      <c r="J178" s="303"/>
      <c r="K178" s="303"/>
      <c r="L178" s="303"/>
      <c r="M178" s="435"/>
    </row>
    <row r="179" spans="1:13" ht="15.75" customHeight="1" thickBot="1">
      <c r="A179" s="334"/>
      <c r="B179" s="2627" t="s">
        <v>390</v>
      </c>
      <c r="C179" s="2628" t="str">
        <f>'Бюд.р.'!A588</f>
        <v>СРЕДСТВА МАССОВОЙ ИНФОРМАЦИИ</v>
      </c>
      <c r="D179" s="2596" t="s">
        <v>631</v>
      </c>
      <c r="E179" s="2614" t="s">
        <v>1333</v>
      </c>
      <c r="F179" s="2629"/>
      <c r="G179" s="2630"/>
      <c r="H179" s="2631"/>
      <c r="I179" s="2600">
        <f>I180</f>
        <v>1800</v>
      </c>
      <c r="J179" s="303"/>
      <c r="K179" s="303"/>
      <c r="L179" s="303"/>
      <c r="M179" s="435"/>
    </row>
    <row r="180" spans="1:13" ht="17.25" customHeight="1" thickBot="1">
      <c r="A180" s="334"/>
      <c r="B180" s="2615" t="s">
        <v>101</v>
      </c>
      <c r="C180" s="2626" t="str">
        <f>'Бюд.р.'!A589</f>
        <v>Периодическая печать и издательства</v>
      </c>
      <c r="D180" s="2603">
        <v>968</v>
      </c>
      <c r="E180" s="2624" t="s">
        <v>1336</v>
      </c>
      <c r="F180" s="2616"/>
      <c r="G180" s="2617"/>
      <c r="H180" s="2618"/>
      <c r="I180" s="2607">
        <f>I181</f>
        <v>1800</v>
      </c>
      <c r="J180" s="303"/>
      <c r="K180" s="303"/>
      <c r="L180" s="303"/>
      <c r="M180" s="435"/>
    </row>
    <row r="181" spans="1:13" ht="23.25" customHeight="1" thickBot="1">
      <c r="A181" s="334"/>
      <c r="B181" s="1291" t="s">
        <v>102</v>
      </c>
      <c r="C181" s="1327" t="str">
        <f>'Бюд.р.'!A590</f>
        <v>ОПУБЛИКОВАНИЕ МУНИЦИПАЛЬНЫХ ПРАВОВЫХ АКТОВ, ИНОЙ ИНФОРМАЦИИ </v>
      </c>
      <c r="D181" s="1254">
        <v>968</v>
      </c>
      <c r="E181" s="1230">
        <v>1202</v>
      </c>
      <c r="F181" s="1230" t="s">
        <v>696</v>
      </c>
      <c r="G181" s="1358"/>
      <c r="H181" s="2635"/>
      <c r="I181" s="1315">
        <f>I182</f>
        <v>1800</v>
      </c>
      <c r="J181" s="303"/>
      <c r="K181" s="303"/>
      <c r="L181" s="303"/>
      <c r="M181" s="435"/>
    </row>
    <row r="182" spans="1:13" ht="25.5" customHeight="1" thickBot="1">
      <c r="A182" s="334"/>
      <c r="B182" s="2094" t="s">
        <v>201</v>
      </c>
      <c r="C182" s="1334" t="str">
        <f>'Бюд.р.'!A591</f>
        <v>Закупка товаров, работ и услуг  для государственных (муниципальных) нужд</v>
      </c>
      <c r="D182" s="1356">
        <v>968</v>
      </c>
      <c r="E182" s="1222">
        <v>1202</v>
      </c>
      <c r="F182" s="1222" t="s">
        <v>696</v>
      </c>
      <c r="G182" s="1357">
        <f>'Бюд.р.'!F591</f>
        <v>200</v>
      </c>
      <c r="H182" s="1262"/>
      <c r="I182" s="1321">
        <f>'Бюд.р.'!H592</f>
        <v>1800</v>
      </c>
      <c r="J182" s="303"/>
      <c r="K182" s="303"/>
      <c r="L182" s="303"/>
      <c r="M182" s="435"/>
    </row>
    <row r="183" spans="1:13" ht="20.25" customHeight="1" thickBot="1">
      <c r="A183" s="316" t="s">
        <v>728</v>
      </c>
      <c r="B183" s="1293"/>
      <c r="C183" s="1341" t="s">
        <v>325</v>
      </c>
      <c r="D183" s="1361"/>
      <c r="E183" s="1275"/>
      <c r="F183" s="1276"/>
      <c r="G183" s="1362"/>
      <c r="H183" s="1344"/>
      <c r="I183" s="2468">
        <f>I31+I59</f>
        <v>125000</v>
      </c>
      <c r="J183" s="336" t="e">
        <f>J31</f>
        <v>#REF!</v>
      </c>
      <c r="K183" s="336" t="e">
        <f>K31</f>
        <v>#REF!</v>
      </c>
      <c r="L183" s="336" t="e">
        <f>L31</f>
        <v>#REF!</v>
      </c>
      <c r="M183" s="336" t="e">
        <f>M31</f>
        <v>#REF!</v>
      </c>
    </row>
    <row r="184" spans="1:13" ht="12.75" hidden="1">
      <c r="A184" s="48" t="s">
        <v>109</v>
      </c>
      <c r="B184" s="286"/>
      <c r="C184" s="287" t="s">
        <v>293</v>
      </c>
      <c r="D184" s="288"/>
      <c r="E184" s="289" t="s">
        <v>802</v>
      </c>
      <c r="F184" s="290" t="s">
        <v>429</v>
      </c>
      <c r="G184" s="290">
        <v>755</v>
      </c>
      <c r="H184" s="289" t="s">
        <v>277</v>
      </c>
      <c r="I184" s="280">
        <f aca="true" t="shared" si="1" ref="I184:I202">SUM(J184:M184)</f>
        <v>0</v>
      </c>
      <c r="J184" s="291"/>
      <c r="K184" s="291"/>
      <c r="L184" s="291"/>
      <c r="M184" s="291"/>
    </row>
    <row r="185" spans="1:13" ht="23.25" hidden="1" thickBot="1">
      <c r="A185" s="51" t="s">
        <v>701</v>
      </c>
      <c r="B185" s="197"/>
      <c r="C185" s="198" t="s">
        <v>803</v>
      </c>
      <c r="D185" s="26"/>
      <c r="E185" s="13" t="s">
        <v>802</v>
      </c>
      <c r="F185" s="13" t="s">
        <v>429</v>
      </c>
      <c r="G185" s="13" t="s">
        <v>321</v>
      </c>
      <c r="H185" s="13" t="s">
        <v>322</v>
      </c>
      <c r="I185" s="256">
        <f t="shared" si="1"/>
        <v>0</v>
      </c>
      <c r="J185" s="253"/>
      <c r="K185" s="253"/>
      <c r="L185" s="253"/>
      <c r="M185" s="253"/>
    </row>
    <row r="186" spans="1:13" ht="21" customHeight="1" hidden="1" thickBot="1">
      <c r="A186" s="188"/>
      <c r="B186" s="1294"/>
      <c r="C186" s="202" t="s">
        <v>325</v>
      </c>
      <c r="D186" s="200"/>
      <c r="E186" s="201"/>
      <c r="F186" s="201"/>
      <c r="G186" s="201"/>
      <c r="H186" s="201"/>
      <c r="I186" s="256">
        <f t="shared" si="1"/>
        <v>0</v>
      </c>
      <c r="J186" s="254"/>
      <c r="K186" s="254"/>
      <c r="L186" s="254"/>
      <c r="M186" s="254"/>
    </row>
    <row r="187" spans="3:13" ht="12.75" hidden="1">
      <c r="C187" t="s">
        <v>837</v>
      </c>
      <c r="I187" s="256">
        <f t="shared" si="1"/>
        <v>0</v>
      </c>
      <c r="J187" s="38"/>
      <c r="K187" s="38"/>
      <c r="L187" s="38"/>
      <c r="M187" s="38"/>
    </row>
    <row r="188" spans="3:13" ht="12.75" hidden="1">
      <c r="C188" s="27" t="s">
        <v>812</v>
      </c>
      <c r="D188" s="27"/>
      <c r="E188" s="27"/>
      <c r="F188" s="27"/>
      <c r="G188" s="27"/>
      <c r="H188" s="27"/>
      <c r="I188" s="256">
        <f t="shared" si="1"/>
        <v>0</v>
      </c>
      <c r="J188" s="27"/>
      <c r="K188" s="27"/>
      <c r="L188" s="27"/>
      <c r="M188" s="27"/>
    </row>
    <row r="189" spans="3:9" ht="12.75" hidden="1">
      <c r="C189" t="s">
        <v>836</v>
      </c>
      <c r="I189" s="256">
        <f t="shared" si="1"/>
        <v>0</v>
      </c>
    </row>
    <row r="190" spans="3:9" ht="12.75" hidden="1">
      <c r="C190" t="s">
        <v>811</v>
      </c>
      <c r="I190" s="256">
        <f t="shared" si="1"/>
        <v>0</v>
      </c>
    </row>
    <row r="191" spans="3:9" ht="12.75" hidden="1">
      <c r="C191" t="s">
        <v>810</v>
      </c>
      <c r="I191" s="256">
        <f t="shared" si="1"/>
        <v>0</v>
      </c>
    </row>
    <row r="192" ht="12.75" hidden="1">
      <c r="I192" s="256">
        <f t="shared" si="1"/>
        <v>0</v>
      </c>
    </row>
    <row r="193" spans="3:13" ht="12.75" hidden="1">
      <c r="C193" s="151" t="s">
        <v>815</v>
      </c>
      <c r="D193" s="116"/>
      <c r="E193" s="116"/>
      <c r="F193" s="116"/>
      <c r="G193" s="116"/>
      <c r="H193" s="116"/>
      <c r="I193" s="256">
        <f t="shared" si="1"/>
        <v>0</v>
      </c>
      <c r="J193" s="116"/>
      <c r="K193" s="116"/>
      <c r="L193" s="116"/>
      <c r="M193" s="116"/>
    </row>
    <row r="194" spans="3:13" ht="12.75" hidden="1">
      <c r="C194" s="147" t="s">
        <v>813</v>
      </c>
      <c r="D194" s="38"/>
      <c r="E194" s="38"/>
      <c r="F194" s="38" t="e">
        <f>#REF!-#REF!</f>
        <v>#REF!</v>
      </c>
      <c r="G194" s="38"/>
      <c r="H194" s="38"/>
      <c r="I194" s="256">
        <f t="shared" si="1"/>
        <v>0</v>
      </c>
      <c r="J194" s="38"/>
      <c r="K194" s="38"/>
      <c r="L194" s="38"/>
      <c r="M194" s="38"/>
    </row>
    <row r="195" spans="3:13" ht="13.5" hidden="1" thickBot="1">
      <c r="C195" s="148" t="s">
        <v>809</v>
      </c>
      <c r="D195" s="149"/>
      <c r="E195" s="149"/>
      <c r="F195" s="38" t="e">
        <f>#REF!-#REF!</f>
        <v>#REF!</v>
      </c>
      <c r="G195" s="149"/>
      <c r="H195" s="149"/>
      <c r="I195" s="256">
        <f t="shared" si="1"/>
        <v>0</v>
      </c>
      <c r="J195" s="149"/>
      <c r="K195" s="149"/>
      <c r="L195" s="149"/>
      <c r="M195" s="149"/>
    </row>
    <row r="196" spans="3:13" ht="12.75" hidden="1">
      <c r="C196" s="151" t="s">
        <v>814</v>
      </c>
      <c r="D196" s="116"/>
      <c r="E196" s="116"/>
      <c r="F196" s="116"/>
      <c r="G196" s="116"/>
      <c r="H196" s="116"/>
      <c r="I196" s="256">
        <f t="shared" si="1"/>
        <v>0</v>
      </c>
      <c r="J196" s="116"/>
      <c r="K196" s="116"/>
      <c r="L196" s="116"/>
      <c r="M196" s="116"/>
    </row>
    <row r="197" spans="3:13" ht="12.75" hidden="1">
      <c r="C197" s="147" t="s">
        <v>813</v>
      </c>
      <c r="D197" s="38"/>
      <c r="E197" s="38"/>
      <c r="F197" s="145" t="e">
        <f>#REF!-#REF!</f>
        <v>#REF!</v>
      </c>
      <c r="G197" s="38"/>
      <c r="H197" s="38"/>
      <c r="I197" s="256">
        <f t="shared" si="1"/>
        <v>0</v>
      </c>
      <c r="J197" s="145"/>
      <c r="K197" s="145"/>
      <c r="L197" s="145"/>
      <c r="M197" s="145"/>
    </row>
    <row r="198" spans="3:13" ht="13.5" hidden="1" thickBot="1">
      <c r="C198" s="148" t="s">
        <v>809</v>
      </c>
      <c r="D198" s="149"/>
      <c r="E198" s="149"/>
      <c r="F198" s="150" t="e">
        <f>#REF!-#REF!</f>
        <v>#REF!</v>
      </c>
      <c r="G198" s="149"/>
      <c r="H198" s="149"/>
      <c r="I198" s="256">
        <f t="shared" si="1"/>
        <v>0</v>
      </c>
      <c r="J198" s="150"/>
      <c r="K198" s="150"/>
      <c r="L198" s="150"/>
      <c r="M198" s="150"/>
    </row>
    <row r="199" spans="9:13" ht="12.75" hidden="1">
      <c r="I199" s="256">
        <f t="shared" si="1"/>
        <v>0</v>
      </c>
      <c r="J199" s="146"/>
      <c r="K199" s="146"/>
      <c r="L199" s="146"/>
      <c r="M199" s="146"/>
    </row>
    <row r="200" spans="3:9" ht="12.75" hidden="1">
      <c r="C200" t="s">
        <v>342</v>
      </c>
      <c r="I200" s="256">
        <f t="shared" si="1"/>
        <v>0</v>
      </c>
    </row>
    <row r="201" spans="3:9" ht="12.75" hidden="1">
      <c r="C201" t="s">
        <v>343</v>
      </c>
      <c r="I201" s="256">
        <f t="shared" si="1"/>
        <v>0</v>
      </c>
    </row>
    <row r="202" spans="3:9" ht="12.75" hidden="1">
      <c r="C202" t="s">
        <v>344</v>
      </c>
      <c r="I202" s="335">
        <f t="shared" si="1"/>
        <v>0</v>
      </c>
    </row>
    <row r="203" spans="2:13" ht="12.75">
      <c r="B203" s="1296"/>
      <c r="C203" s="38"/>
      <c r="D203" s="38"/>
      <c r="E203" s="38"/>
      <c r="F203" s="38"/>
      <c r="G203" s="38"/>
      <c r="H203" s="38"/>
      <c r="I203" s="333"/>
      <c r="J203" s="38"/>
      <c r="K203" s="38"/>
      <c r="L203" s="38"/>
      <c r="M203" s="38"/>
    </row>
  </sheetData>
  <sheetProtection/>
  <mergeCells count="18">
    <mergeCell ref="C13:J13"/>
    <mergeCell ref="B1:I1"/>
    <mergeCell ref="B2:I2"/>
    <mergeCell ref="B3:I3"/>
    <mergeCell ref="B4:I4"/>
    <mergeCell ref="B5:I5"/>
    <mergeCell ref="B6:C6"/>
    <mergeCell ref="D6:I6"/>
    <mergeCell ref="D14:J14"/>
    <mergeCell ref="C17:I17"/>
    <mergeCell ref="B7:I7"/>
    <mergeCell ref="B16:I16"/>
    <mergeCell ref="B15:I15"/>
    <mergeCell ref="C8:I8"/>
    <mergeCell ref="C9:I9"/>
    <mergeCell ref="C10:J10"/>
    <mergeCell ref="D11:J11"/>
    <mergeCell ref="C12:I12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2965" t="s">
        <v>790</v>
      </c>
      <c r="B1" s="2966"/>
      <c r="C1" s="2966"/>
      <c r="D1" s="2966"/>
      <c r="E1" s="2966"/>
      <c r="F1" s="2966"/>
      <c r="G1" s="2966"/>
      <c r="H1" s="2966"/>
      <c r="I1" s="116"/>
      <c r="J1" s="544"/>
    </row>
    <row r="2" spans="1:10" ht="24.75" customHeight="1">
      <c r="A2" s="545"/>
      <c r="B2" s="2974" t="s">
        <v>492</v>
      </c>
      <c r="C2" s="2976" t="s">
        <v>806</v>
      </c>
      <c r="D2" s="2967" t="s">
        <v>791</v>
      </c>
      <c r="E2" s="2971" t="s">
        <v>792</v>
      </c>
      <c r="F2" s="2969" t="s">
        <v>490</v>
      </c>
      <c r="G2" s="2967" t="s">
        <v>488</v>
      </c>
      <c r="H2" s="2968"/>
      <c r="I2" s="2967" t="s">
        <v>489</v>
      </c>
      <c r="J2" s="2969"/>
    </row>
    <row r="3" spans="1:10" ht="47.25" customHeight="1" thickBot="1">
      <c r="A3" s="545"/>
      <c r="B3" s="2975"/>
      <c r="C3" s="2977"/>
      <c r="D3" s="2970"/>
      <c r="E3" s="2972"/>
      <c r="F3" s="2973"/>
      <c r="G3" s="569" t="s">
        <v>491</v>
      </c>
      <c r="H3" s="571" t="s">
        <v>303</v>
      </c>
      <c r="I3" s="569" t="s">
        <v>491</v>
      </c>
      <c r="J3" s="570" t="s">
        <v>303</v>
      </c>
    </row>
    <row r="4" spans="1:10" ht="25.5">
      <c r="A4" s="572" t="s">
        <v>171</v>
      </c>
      <c r="B4" s="557" t="s">
        <v>172</v>
      </c>
      <c r="C4" s="546" t="s">
        <v>361</v>
      </c>
      <c r="D4" s="603">
        <v>4885.105</v>
      </c>
      <c r="E4" s="604">
        <v>5471.317</v>
      </c>
      <c r="F4" s="605">
        <f>E4/D4%</f>
        <v>111.99998771776657</v>
      </c>
      <c r="G4" s="626">
        <f>H4/E4%</f>
        <v>349.82436587022835</v>
      </c>
      <c r="H4" s="602">
        <f>кв!D20</f>
        <v>19140</v>
      </c>
      <c r="I4" s="614">
        <v>110</v>
      </c>
      <c r="J4" s="615">
        <f>E4*I4%</f>
        <v>6018.448700000001</v>
      </c>
    </row>
    <row r="5" spans="1:10" ht="38.25">
      <c r="A5" s="572" t="s">
        <v>171</v>
      </c>
      <c r="B5" s="558" t="s">
        <v>227</v>
      </c>
      <c r="C5" s="502" t="s">
        <v>362</v>
      </c>
      <c r="D5" s="566">
        <v>1221.087</v>
      </c>
      <c r="E5" s="468">
        <v>1379.828</v>
      </c>
      <c r="F5" s="606">
        <f aca="true" t="shared" si="0" ref="F5:F44">E5/D5%</f>
        <v>112.99997461278353</v>
      </c>
      <c r="G5" s="611">
        <f aca="true" t="shared" si="1" ref="G5:G44">H5/E5%</f>
        <v>366.0601176378505</v>
      </c>
      <c r="H5" s="597">
        <f>кв!D23</f>
        <v>5051</v>
      </c>
      <c r="I5" s="616">
        <v>110</v>
      </c>
      <c r="J5" s="617">
        <f aca="true" t="shared" si="2" ref="J5:J44">E5*I5%</f>
        <v>1517.8108000000002</v>
      </c>
    </row>
    <row r="6" spans="1:10" ht="12.75">
      <c r="A6" s="573" t="s">
        <v>171</v>
      </c>
      <c r="B6" s="559" t="s">
        <v>497</v>
      </c>
      <c r="C6" s="547" t="s">
        <v>306</v>
      </c>
      <c r="D6" s="566">
        <v>22038.18</v>
      </c>
      <c r="E6" s="468">
        <v>23580.852</v>
      </c>
      <c r="F6" s="606">
        <f t="shared" si="0"/>
        <v>106.99999727745212</v>
      </c>
      <c r="G6" s="611">
        <f t="shared" si="1"/>
        <v>141.35621562783228</v>
      </c>
      <c r="H6" s="598">
        <f>кв!D28</f>
        <v>33333</v>
      </c>
      <c r="I6" s="616">
        <v>110</v>
      </c>
      <c r="J6" s="617">
        <f t="shared" si="2"/>
        <v>25938.9372</v>
      </c>
    </row>
    <row r="7" spans="1:10" ht="28.5" hidden="1">
      <c r="A7" s="574" t="s">
        <v>170</v>
      </c>
      <c r="B7" s="585" t="s">
        <v>173</v>
      </c>
      <c r="C7" s="501" t="s">
        <v>307</v>
      </c>
      <c r="D7" s="618"/>
      <c r="E7" s="619"/>
      <c r="F7" s="606" t="e">
        <f t="shared" si="0"/>
        <v>#DIV/0!</v>
      </c>
      <c r="G7" s="611" t="e">
        <f t="shared" si="1"/>
        <v>#REF!</v>
      </c>
      <c r="H7" s="620" t="e">
        <f>SUM(#REF!)</f>
        <v>#REF!</v>
      </c>
      <c r="I7" s="616">
        <v>110</v>
      </c>
      <c r="J7" s="617">
        <f t="shared" si="2"/>
        <v>0</v>
      </c>
    </row>
    <row r="8" spans="1:10" ht="12.75" hidden="1">
      <c r="A8" s="575" t="s">
        <v>171</v>
      </c>
      <c r="B8" s="560" t="s">
        <v>669</v>
      </c>
      <c r="C8" s="548" t="s">
        <v>308</v>
      </c>
      <c r="D8" s="621"/>
      <c r="E8" s="622"/>
      <c r="F8" s="606" t="e">
        <f t="shared" si="0"/>
        <v>#DIV/0!</v>
      </c>
      <c r="G8" s="611" t="e">
        <f t="shared" si="1"/>
        <v>#REF!</v>
      </c>
      <c r="H8" s="600" t="e">
        <f>SUM(#REF!)</f>
        <v>#REF!</v>
      </c>
      <c r="I8" s="616">
        <v>110</v>
      </c>
      <c r="J8" s="617">
        <f t="shared" si="2"/>
        <v>0</v>
      </c>
    </row>
    <row r="9" spans="1:10" ht="63.75">
      <c r="A9" s="576" t="s">
        <v>171</v>
      </c>
      <c r="B9" s="558" t="s">
        <v>498</v>
      </c>
      <c r="C9" s="502" t="s">
        <v>779</v>
      </c>
      <c r="D9" s="566">
        <v>19788.44</v>
      </c>
      <c r="E9" s="468">
        <v>21292.361</v>
      </c>
      <c r="F9" s="606">
        <f t="shared" si="0"/>
        <v>107.59999777647961</v>
      </c>
      <c r="G9" s="611">
        <f t="shared" si="1"/>
        <v>185.04241967342185</v>
      </c>
      <c r="H9" s="598">
        <f>кв!D35</f>
        <v>39399.9</v>
      </c>
      <c r="I9" s="616">
        <v>110</v>
      </c>
      <c r="J9" s="617">
        <f t="shared" si="2"/>
        <v>23421.597100000003</v>
      </c>
    </row>
    <row r="10" spans="1:10" ht="28.5" hidden="1">
      <c r="A10" s="577" t="s">
        <v>170</v>
      </c>
      <c r="B10" s="585" t="s">
        <v>125</v>
      </c>
      <c r="C10" s="501" t="s">
        <v>470</v>
      </c>
      <c r="D10" s="618"/>
      <c r="E10" s="619"/>
      <c r="F10" s="606" t="e">
        <f t="shared" si="0"/>
        <v>#DIV/0!</v>
      </c>
      <c r="G10" s="611" t="e">
        <f t="shared" si="1"/>
        <v>#REF!</v>
      </c>
      <c r="H10" s="620" t="e">
        <f>H11</f>
        <v>#REF!</v>
      </c>
      <c r="I10" s="616">
        <v>110</v>
      </c>
      <c r="J10" s="617">
        <f t="shared" si="2"/>
        <v>0</v>
      </c>
    </row>
    <row r="11" spans="1:10" ht="12.75" hidden="1">
      <c r="A11" s="578" t="s">
        <v>170</v>
      </c>
      <c r="B11" s="561" t="s">
        <v>785</v>
      </c>
      <c r="C11" s="548" t="s">
        <v>786</v>
      </c>
      <c r="D11" s="621"/>
      <c r="E11" s="622"/>
      <c r="F11" s="606" t="e">
        <f t="shared" si="0"/>
        <v>#DIV/0!</v>
      </c>
      <c r="G11" s="611" t="e">
        <f t="shared" si="1"/>
        <v>#REF!</v>
      </c>
      <c r="H11" s="600" t="e">
        <f>SUM(#REF!)</f>
        <v>#REF!</v>
      </c>
      <c r="I11" s="616">
        <v>110</v>
      </c>
      <c r="J11" s="617">
        <f t="shared" si="2"/>
        <v>0</v>
      </c>
    </row>
    <row r="12" spans="1:10" ht="25.5">
      <c r="A12" s="579" t="s">
        <v>171</v>
      </c>
      <c r="B12" s="562" t="s">
        <v>224</v>
      </c>
      <c r="C12" s="502" t="s">
        <v>309</v>
      </c>
      <c r="D12" s="566">
        <v>35</v>
      </c>
      <c r="E12" s="468">
        <v>45.85</v>
      </c>
      <c r="F12" s="606">
        <f t="shared" si="0"/>
        <v>131</v>
      </c>
      <c r="G12" s="611">
        <f t="shared" si="1"/>
        <v>21.810250817884405</v>
      </c>
      <c r="H12" s="600">
        <f>кв!D38</f>
        <v>10</v>
      </c>
      <c r="I12" s="616">
        <v>110</v>
      </c>
      <c r="J12" s="617">
        <f t="shared" si="2"/>
        <v>50.435</v>
      </c>
    </row>
    <row r="13" spans="1:10" ht="15.75" hidden="1">
      <c r="A13" s="580"/>
      <c r="B13" s="586"/>
      <c r="C13" s="549" t="s">
        <v>479</v>
      </c>
      <c r="D13" s="608"/>
      <c r="E13" s="609"/>
      <c r="F13" s="606" t="e">
        <f t="shared" si="0"/>
        <v>#DIV/0!</v>
      </c>
      <c r="G13" s="607" t="e">
        <f t="shared" si="1"/>
        <v>#DIV/0!</v>
      </c>
      <c r="H13" s="601"/>
      <c r="I13" s="616">
        <v>110</v>
      </c>
      <c r="J13" s="617">
        <f t="shared" si="2"/>
        <v>0</v>
      </c>
    </row>
    <row r="14" spans="1:10" ht="36" hidden="1">
      <c r="A14" s="574" t="s">
        <v>170</v>
      </c>
      <c r="B14" s="585" t="s">
        <v>131</v>
      </c>
      <c r="C14" s="501" t="s">
        <v>132</v>
      </c>
      <c r="D14" s="618"/>
      <c r="E14" s="619"/>
      <c r="F14" s="606" t="e">
        <f t="shared" si="0"/>
        <v>#DIV/0!</v>
      </c>
      <c r="G14" s="607" t="e">
        <f t="shared" si="1"/>
        <v>#REF!</v>
      </c>
      <c r="H14" s="620" t="e">
        <f>H15+H18</f>
        <v>#REF!</v>
      </c>
      <c r="I14" s="616">
        <v>110</v>
      </c>
      <c r="J14" s="617">
        <f t="shared" si="2"/>
        <v>0</v>
      </c>
    </row>
    <row r="15" spans="1:10" ht="24" hidden="1">
      <c r="A15" s="578" t="s">
        <v>631</v>
      </c>
      <c r="B15" s="561" t="s">
        <v>133</v>
      </c>
      <c r="C15" s="550" t="s">
        <v>134</v>
      </c>
      <c r="D15" s="623"/>
      <c r="E15" s="624"/>
      <c r="F15" s="606" t="e">
        <f t="shared" si="0"/>
        <v>#DIV/0!</v>
      </c>
      <c r="G15" s="607" t="e">
        <f t="shared" si="1"/>
        <v>#REF!</v>
      </c>
      <c r="H15" s="543" t="e">
        <f>H17</f>
        <v>#REF!</v>
      </c>
      <c r="I15" s="616">
        <v>110</v>
      </c>
      <c r="J15" s="617">
        <f t="shared" si="2"/>
        <v>0</v>
      </c>
    </row>
    <row r="16" spans="1:10" ht="89.25" hidden="1">
      <c r="A16" s="579" t="s">
        <v>631</v>
      </c>
      <c r="B16" s="562" t="s">
        <v>212</v>
      </c>
      <c r="C16" s="551" t="s">
        <v>690</v>
      </c>
      <c r="D16" s="563"/>
      <c r="E16" s="467"/>
      <c r="F16" s="606" t="e">
        <f t="shared" si="0"/>
        <v>#DIV/0!</v>
      </c>
      <c r="G16" s="607" t="e">
        <f t="shared" si="1"/>
        <v>#REF!</v>
      </c>
      <c r="H16" s="543" t="e">
        <f>H17</f>
        <v>#REF!</v>
      </c>
      <c r="I16" s="616">
        <v>110</v>
      </c>
      <c r="J16" s="617">
        <f t="shared" si="2"/>
        <v>0</v>
      </c>
    </row>
    <row r="17" spans="1:10" ht="60" hidden="1">
      <c r="A17" s="579" t="s">
        <v>631</v>
      </c>
      <c r="B17" s="563" t="s">
        <v>135</v>
      </c>
      <c r="C17" s="552" t="s">
        <v>385</v>
      </c>
      <c r="D17" s="563"/>
      <c r="E17" s="467"/>
      <c r="F17" s="606" t="e">
        <f t="shared" si="0"/>
        <v>#DIV/0!</v>
      </c>
      <c r="G17" s="607" t="e">
        <f t="shared" si="1"/>
        <v>#REF!</v>
      </c>
      <c r="H17" s="543" t="e">
        <f>SUM(#REF!)</f>
        <v>#REF!</v>
      </c>
      <c r="I17" s="616">
        <v>110</v>
      </c>
      <c r="J17" s="617">
        <f t="shared" si="2"/>
        <v>0</v>
      </c>
    </row>
    <row r="18" spans="1:10" ht="24" hidden="1">
      <c r="A18" s="578" t="s">
        <v>631</v>
      </c>
      <c r="B18" s="561" t="s">
        <v>136</v>
      </c>
      <c r="C18" s="550" t="s">
        <v>137</v>
      </c>
      <c r="D18" s="623"/>
      <c r="E18" s="624"/>
      <c r="F18" s="606" t="e">
        <f t="shared" si="0"/>
        <v>#DIV/0!</v>
      </c>
      <c r="G18" s="607" t="e">
        <f t="shared" si="1"/>
        <v>#REF!</v>
      </c>
      <c r="H18" s="543" t="e">
        <f>H19</f>
        <v>#REF!</v>
      </c>
      <c r="I18" s="616">
        <v>110</v>
      </c>
      <c r="J18" s="617">
        <f t="shared" si="2"/>
        <v>0</v>
      </c>
    </row>
    <row r="19" spans="1:10" ht="38.25" hidden="1">
      <c r="A19" s="579" t="s">
        <v>631</v>
      </c>
      <c r="B19" s="562" t="s">
        <v>138</v>
      </c>
      <c r="C19" s="551" t="s">
        <v>139</v>
      </c>
      <c r="D19" s="563"/>
      <c r="E19" s="467"/>
      <c r="F19" s="606" t="e">
        <f t="shared" si="0"/>
        <v>#DIV/0!</v>
      </c>
      <c r="G19" s="607" t="e">
        <f t="shared" si="1"/>
        <v>#REF!</v>
      </c>
      <c r="H19" s="543" t="e">
        <f>H20</f>
        <v>#REF!</v>
      </c>
      <c r="I19" s="616">
        <v>110</v>
      </c>
      <c r="J19" s="617">
        <f t="shared" si="2"/>
        <v>0</v>
      </c>
    </row>
    <row r="20" spans="1:10" ht="60" hidden="1">
      <c r="A20" s="581" t="s">
        <v>631</v>
      </c>
      <c r="B20" s="563" t="s">
        <v>140</v>
      </c>
      <c r="C20" s="552" t="s">
        <v>386</v>
      </c>
      <c r="D20" s="563"/>
      <c r="E20" s="467"/>
      <c r="F20" s="606" t="e">
        <f t="shared" si="0"/>
        <v>#DIV/0!</v>
      </c>
      <c r="G20" s="607" t="e">
        <f t="shared" si="1"/>
        <v>#REF!</v>
      </c>
      <c r="H20" s="543" t="e">
        <f>SUM(#REF!)</f>
        <v>#REF!</v>
      </c>
      <c r="I20" s="616">
        <v>110</v>
      </c>
      <c r="J20" s="617">
        <f t="shared" si="2"/>
        <v>0</v>
      </c>
    </row>
    <row r="21" spans="1:10" ht="28.5" hidden="1">
      <c r="A21" s="574" t="s">
        <v>170</v>
      </c>
      <c r="B21" s="585" t="s">
        <v>852</v>
      </c>
      <c r="C21" s="501" t="s">
        <v>851</v>
      </c>
      <c r="D21" s="618"/>
      <c r="E21" s="619"/>
      <c r="F21" s="606" t="e">
        <f t="shared" si="0"/>
        <v>#DIV/0!</v>
      </c>
      <c r="G21" s="607" t="e">
        <f t="shared" si="1"/>
        <v>#REF!</v>
      </c>
      <c r="H21" s="620" t="e">
        <f>H22</f>
        <v>#REF!</v>
      </c>
      <c r="I21" s="616">
        <v>110</v>
      </c>
      <c r="J21" s="617">
        <f t="shared" si="2"/>
        <v>0</v>
      </c>
    </row>
    <row r="22" spans="1:10" ht="24" hidden="1">
      <c r="A22" s="578" t="s">
        <v>170</v>
      </c>
      <c r="B22" s="561" t="s">
        <v>853</v>
      </c>
      <c r="C22" s="550" t="s">
        <v>854</v>
      </c>
      <c r="D22" s="623"/>
      <c r="E22" s="624"/>
      <c r="F22" s="606" t="e">
        <f t="shared" si="0"/>
        <v>#DIV/0!</v>
      </c>
      <c r="G22" s="607" t="e">
        <f t="shared" si="1"/>
        <v>#REF!</v>
      </c>
      <c r="H22" s="543" t="e">
        <f>H23</f>
        <v>#REF!</v>
      </c>
      <c r="I22" s="616">
        <v>110</v>
      </c>
      <c r="J22" s="617">
        <f t="shared" si="2"/>
        <v>0</v>
      </c>
    </row>
    <row r="23" spans="1:10" ht="76.5" hidden="1">
      <c r="A23" s="579" t="s">
        <v>170</v>
      </c>
      <c r="B23" s="562" t="s">
        <v>856</v>
      </c>
      <c r="C23" s="551" t="s">
        <v>387</v>
      </c>
      <c r="D23" s="563"/>
      <c r="E23" s="467"/>
      <c r="F23" s="606" t="e">
        <f t="shared" si="0"/>
        <v>#DIV/0!</v>
      </c>
      <c r="G23" s="607" t="e">
        <f t="shared" si="1"/>
        <v>#REF!</v>
      </c>
      <c r="H23" s="543" t="e">
        <f>SUM(H24:H25)</f>
        <v>#REF!</v>
      </c>
      <c r="I23" s="616">
        <v>110</v>
      </c>
      <c r="J23" s="617">
        <f t="shared" si="2"/>
        <v>0</v>
      </c>
    </row>
    <row r="24" spans="1:10" ht="60">
      <c r="A24" s="581" t="s">
        <v>855</v>
      </c>
      <c r="B24" s="563" t="s">
        <v>388</v>
      </c>
      <c r="C24" s="553" t="s">
        <v>389</v>
      </c>
      <c r="D24" s="564">
        <v>1469.7</v>
      </c>
      <c r="E24" s="565">
        <v>1518.9</v>
      </c>
      <c r="F24" s="610">
        <f t="shared" si="0"/>
        <v>103.34762196366606</v>
      </c>
      <c r="G24" s="611">
        <f t="shared" si="1"/>
        <v>59.253407070906576</v>
      </c>
      <c r="H24" s="594">
        <f>кв!D51</f>
        <v>900</v>
      </c>
      <c r="I24" s="616">
        <v>110</v>
      </c>
      <c r="J24" s="617">
        <f t="shared" si="2"/>
        <v>1670.7900000000002</v>
      </c>
    </row>
    <row r="25" spans="1:10" ht="48" hidden="1">
      <c r="A25" s="581" t="s">
        <v>170</v>
      </c>
      <c r="B25" s="563" t="s">
        <v>700</v>
      </c>
      <c r="C25" s="553" t="s">
        <v>699</v>
      </c>
      <c r="D25" s="564"/>
      <c r="E25" s="565"/>
      <c r="F25" s="606" t="e">
        <f t="shared" si="0"/>
        <v>#DIV/0!</v>
      </c>
      <c r="G25" s="611" t="e">
        <f t="shared" si="1"/>
        <v>#REF!</v>
      </c>
      <c r="H25" s="594" t="e">
        <f>SUM(#REF!)</f>
        <v>#REF!</v>
      </c>
      <c r="I25" s="616">
        <v>110</v>
      </c>
      <c r="J25" s="617">
        <f t="shared" si="2"/>
        <v>0</v>
      </c>
    </row>
    <row r="26" spans="1:10" ht="28.5" hidden="1">
      <c r="A26" s="574" t="s">
        <v>170</v>
      </c>
      <c r="B26" s="585" t="s">
        <v>126</v>
      </c>
      <c r="C26" s="501" t="s">
        <v>127</v>
      </c>
      <c r="D26" s="618"/>
      <c r="E26" s="619"/>
      <c r="F26" s="606" t="e">
        <f t="shared" si="0"/>
        <v>#DIV/0!</v>
      </c>
      <c r="G26" s="611" t="e">
        <f t="shared" si="1"/>
        <v>#REF!</v>
      </c>
      <c r="H26" s="625" t="e">
        <f>H27+H30</f>
        <v>#REF!</v>
      </c>
      <c r="I26" s="616">
        <v>110</v>
      </c>
      <c r="J26" s="617">
        <f t="shared" si="2"/>
        <v>0</v>
      </c>
    </row>
    <row r="27" spans="1:10" ht="60" hidden="1">
      <c r="A27" s="578" t="s">
        <v>631</v>
      </c>
      <c r="B27" s="561" t="s">
        <v>128</v>
      </c>
      <c r="C27" s="550" t="s">
        <v>330</v>
      </c>
      <c r="D27" s="623"/>
      <c r="E27" s="624"/>
      <c r="F27" s="606" t="e">
        <f t="shared" si="0"/>
        <v>#DIV/0!</v>
      </c>
      <c r="G27" s="611" t="e">
        <f t="shared" si="1"/>
        <v>#REF!</v>
      </c>
      <c r="H27" s="594" t="e">
        <f>SUM(H28:H29)</f>
        <v>#REF!</v>
      </c>
      <c r="I27" s="616">
        <v>110</v>
      </c>
      <c r="J27" s="617">
        <f t="shared" si="2"/>
        <v>0</v>
      </c>
    </row>
    <row r="28" spans="1:10" ht="89.25" hidden="1">
      <c r="A28" s="579" t="s">
        <v>631</v>
      </c>
      <c r="B28" s="562" t="s">
        <v>129</v>
      </c>
      <c r="C28" s="551" t="s">
        <v>689</v>
      </c>
      <c r="D28" s="563"/>
      <c r="E28" s="467"/>
      <c r="F28" s="606" t="e">
        <f t="shared" si="0"/>
        <v>#DIV/0!</v>
      </c>
      <c r="G28" s="611" t="e">
        <f t="shared" si="1"/>
        <v>#REF!</v>
      </c>
      <c r="H28" s="594" t="e">
        <f>SUM(#REF!)</f>
        <v>#REF!</v>
      </c>
      <c r="I28" s="616">
        <v>110</v>
      </c>
      <c r="J28" s="617">
        <f t="shared" si="2"/>
        <v>0</v>
      </c>
    </row>
    <row r="29" spans="1:10" ht="89.25" hidden="1">
      <c r="A29" s="579" t="s">
        <v>631</v>
      </c>
      <c r="B29" s="562" t="s">
        <v>130</v>
      </c>
      <c r="C29" s="551" t="s">
        <v>370</v>
      </c>
      <c r="D29" s="563"/>
      <c r="E29" s="467"/>
      <c r="F29" s="606" t="e">
        <f t="shared" si="0"/>
        <v>#DIV/0!</v>
      </c>
      <c r="G29" s="611" t="e">
        <f t="shared" si="1"/>
        <v>#REF!</v>
      </c>
      <c r="H29" s="594" t="e">
        <f>SUM(#REF!)</f>
        <v>#REF!</v>
      </c>
      <c r="I29" s="616">
        <v>110</v>
      </c>
      <c r="J29" s="617">
        <f t="shared" si="2"/>
        <v>0</v>
      </c>
    </row>
    <row r="30" spans="1:10" ht="12.75" hidden="1">
      <c r="A30" s="578" t="s">
        <v>631</v>
      </c>
      <c r="B30" s="561" t="s">
        <v>237</v>
      </c>
      <c r="C30" s="550" t="s">
        <v>238</v>
      </c>
      <c r="D30" s="623"/>
      <c r="E30" s="624"/>
      <c r="F30" s="606" t="e">
        <f t="shared" si="0"/>
        <v>#DIV/0!</v>
      </c>
      <c r="G30" s="611" t="e">
        <f t="shared" si="1"/>
        <v>#REF!</v>
      </c>
      <c r="H30" s="594" t="e">
        <f>H31</f>
        <v>#REF!</v>
      </c>
      <c r="I30" s="616">
        <v>110</v>
      </c>
      <c r="J30" s="617">
        <f t="shared" si="2"/>
        <v>0</v>
      </c>
    </row>
    <row r="31" spans="1:10" ht="51" hidden="1">
      <c r="A31" s="579" t="s">
        <v>631</v>
      </c>
      <c r="B31" s="562" t="s">
        <v>239</v>
      </c>
      <c r="C31" s="551" t="s">
        <v>331</v>
      </c>
      <c r="D31" s="563"/>
      <c r="E31" s="467"/>
      <c r="F31" s="606" t="e">
        <f t="shared" si="0"/>
        <v>#DIV/0!</v>
      </c>
      <c r="G31" s="611" t="e">
        <f t="shared" si="1"/>
        <v>#REF!</v>
      </c>
      <c r="H31" s="594" t="e">
        <f>SUM(#REF!)</f>
        <v>#REF!</v>
      </c>
      <c r="I31" s="616">
        <v>110</v>
      </c>
      <c r="J31" s="617">
        <f t="shared" si="2"/>
        <v>0</v>
      </c>
    </row>
    <row r="32" spans="1:10" ht="28.5" hidden="1">
      <c r="A32" s="574" t="s">
        <v>170</v>
      </c>
      <c r="B32" s="585" t="s">
        <v>659</v>
      </c>
      <c r="C32" s="554" t="s">
        <v>310</v>
      </c>
      <c r="D32" s="618"/>
      <c r="E32" s="619"/>
      <c r="F32" s="606" t="e">
        <f t="shared" si="0"/>
        <v>#DIV/0!</v>
      </c>
      <c r="G32" s="611" t="e">
        <f t="shared" si="1"/>
        <v>#REF!</v>
      </c>
      <c r="H32" s="625" t="e">
        <f>SUM(#REF!)</f>
        <v>#REF!</v>
      </c>
      <c r="I32" s="616">
        <v>110</v>
      </c>
      <c r="J32" s="617">
        <f t="shared" si="2"/>
        <v>0</v>
      </c>
    </row>
    <row r="33" spans="1:10" ht="48">
      <c r="A33" s="573" t="s">
        <v>171</v>
      </c>
      <c r="B33" s="559" t="s">
        <v>660</v>
      </c>
      <c r="C33" s="547" t="s">
        <v>311</v>
      </c>
      <c r="D33" s="566">
        <v>1048.8</v>
      </c>
      <c r="E33" s="468">
        <v>1213.462</v>
      </c>
      <c r="F33" s="606">
        <f t="shared" si="0"/>
        <v>115.70003813882533</v>
      </c>
      <c r="G33" s="611">
        <f t="shared" si="1"/>
        <v>22.827249637813132</v>
      </c>
      <c r="H33" s="598">
        <f>кв!D60</f>
        <v>277</v>
      </c>
      <c r="I33" s="616">
        <v>110</v>
      </c>
      <c r="J33" s="617">
        <f t="shared" si="2"/>
        <v>1334.8082000000002</v>
      </c>
    </row>
    <row r="34" spans="1:10" ht="24" hidden="1">
      <c r="A34" s="575" t="s">
        <v>170</v>
      </c>
      <c r="B34" s="560" t="s">
        <v>228</v>
      </c>
      <c r="C34" s="548" t="s">
        <v>229</v>
      </c>
      <c r="D34" s="621"/>
      <c r="E34" s="622"/>
      <c r="F34" s="606" t="e">
        <f t="shared" si="0"/>
        <v>#DIV/0!</v>
      </c>
      <c r="G34" s="607" t="e">
        <f t="shared" si="1"/>
        <v>#REF!</v>
      </c>
      <c r="H34" s="598" t="e">
        <f>SUM(#REF!)</f>
        <v>#REF!</v>
      </c>
      <c r="I34" s="616">
        <v>110</v>
      </c>
      <c r="J34" s="617">
        <f t="shared" si="2"/>
        <v>0</v>
      </c>
    </row>
    <row r="35" spans="1:10" ht="51" hidden="1">
      <c r="A35" s="576" t="s">
        <v>170</v>
      </c>
      <c r="B35" s="558" t="s">
        <v>230</v>
      </c>
      <c r="C35" s="502" t="s">
        <v>332</v>
      </c>
      <c r="D35" s="566"/>
      <c r="E35" s="468"/>
      <c r="F35" s="606" t="e">
        <f t="shared" si="0"/>
        <v>#DIV/0!</v>
      </c>
      <c r="G35" s="607" t="e">
        <f t="shared" si="1"/>
        <v>#REF!</v>
      </c>
      <c r="H35" s="598" t="e">
        <f>SUM(#REF!)</f>
        <v>#REF!</v>
      </c>
      <c r="I35" s="616">
        <v>110</v>
      </c>
      <c r="J35" s="617">
        <f t="shared" si="2"/>
        <v>0</v>
      </c>
    </row>
    <row r="36" spans="1:10" ht="36" hidden="1">
      <c r="A36" s="575" t="s">
        <v>170</v>
      </c>
      <c r="B36" s="560" t="s">
        <v>231</v>
      </c>
      <c r="C36" s="548" t="s">
        <v>232</v>
      </c>
      <c r="D36" s="621"/>
      <c r="E36" s="622"/>
      <c r="F36" s="606" t="e">
        <f t="shared" si="0"/>
        <v>#DIV/0!</v>
      </c>
      <c r="G36" s="607" t="e">
        <f t="shared" si="1"/>
        <v>#REF!</v>
      </c>
      <c r="H36" s="598" t="e">
        <f>SUM(#REF!)</f>
        <v>#REF!</v>
      </c>
      <c r="I36" s="616">
        <v>110</v>
      </c>
      <c r="J36" s="617">
        <f t="shared" si="2"/>
        <v>0</v>
      </c>
    </row>
    <row r="37" spans="1:10" ht="63.75" hidden="1">
      <c r="A37" s="572" t="s">
        <v>170</v>
      </c>
      <c r="B37" s="558" t="s">
        <v>333</v>
      </c>
      <c r="C37" s="502" t="s">
        <v>371</v>
      </c>
      <c r="D37" s="566"/>
      <c r="E37" s="468"/>
      <c r="F37" s="606" t="e">
        <f t="shared" si="0"/>
        <v>#DIV/0!</v>
      </c>
      <c r="G37" s="607" t="e">
        <f t="shared" si="1"/>
        <v>#REF!</v>
      </c>
      <c r="H37" s="598" t="e">
        <f>SUM(#REF!)</f>
        <v>#REF!</v>
      </c>
      <c r="I37" s="616">
        <v>110</v>
      </c>
      <c r="J37" s="617">
        <f t="shared" si="2"/>
        <v>0</v>
      </c>
    </row>
    <row r="38" spans="1:10" ht="24" hidden="1">
      <c r="A38" s="575" t="s">
        <v>170</v>
      </c>
      <c r="B38" s="560" t="s">
        <v>335</v>
      </c>
      <c r="C38" s="548" t="s">
        <v>336</v>
      </c>
      <c r="D38" s="621"/>
      <c r="E38" s="622"/>
      <c r="F38" s="606" t="e">
        <f t="shared" si="0"/>
        <v>#DIV/0!</v>
      </c>
      <c r="G38" s="607" t="e">
        <f t="shared" si="1"/>
        <v>#REF!</v>
      </c>
      <c r="H38" s="598" t="e">
        <f>SUM(#REF!)</f>
        <v>#REF!</v>
      </c>
      <c r="I38" s="616">
        <v>110</v>
      </c>
      <c r="J38" s="617">
        <f t="shared" si="2"/>
        <v>0</v>
      </c>
    </row>
    <row r="39" spans="1:10" ht="63.75" hidden="1">
      <c r="A39" s="572" t="s">
        <v>170</v>
      </c>
      <c r="B39" s="558" t="s">
        <v>337</v>
      </c>
      <c r="C39" s="502" t="s">
        <v>338</v>
      </c>
      <c r="D39" s="566"/>
      <c r="E39" s="468"/>
      <c r="F39" s="606" t="e">
        <f t="shared" si="0"/>
        <v>#DIV/0!</v>
      </c>
      <c r="G39" s="607" t="e">
        <f t="shared" si="1"/>
        <v>#REF!</v>
      </c>
      <c r="H39" s="598" t="e">
        <f>SUM(#REF!)</f>
        <v>#REF!</v>
      </c>
      <c r="I39" s="616">
        <v>110</v>
      </c>
      <c r="J39" s="617">
        <f t="shared" si="2"/>
        <v>0</v>
      </c>
    </row>
    <row r="40" spans="1:10" ht="24" hidden="1">
      <c r="A40" s="575" t="s">
        <v>170</v>
      </c>
      <c r="B40" s="560" t="s">
        <v>233</v>
      </c>
      <c r="C40" s="548" t="s">
        <v>313</v>
      </c>
      <c r="D40" s="621"/>
      <c r="E40" s="622"/>
      <c r="F40" s="606" t="e">
        <f t="shared" si="0"/>
        <v>#DIV/0!</v>
      </c>
      <c r="G40" s="607" t="e">
        <f t="shared" si="1"/>
        <v>#REF!</v>
      </c>
      <c r="H40" s="598" t="e">
        <f>SUM(#REF!)</f>
        <v>#REF!</v>
      </c>
      <c r="I40" s="616">
        <v>110</v>
      </c>
      <c r="J40" s="617">
        <f t="shared" si="2"/>
        <v>0</v>
      </c>
    </row>
    <row r="41" spans="1:10" ht="51" hidden="1">
      <c r="A41" s="576" t="s">
        <v>170</v>
      </c>
      <c r="B41" s="558" t="s">
        <v>367</v>
      </c>
      <c r="C41" s="502" t="s">
        <v>368</v>
      </c>
      <c r="D41" s="566"/>
      <c r="E41" s="468"/>
      <c r="F41" s="606" t="e">
        <f t="shared" si="0"/>
        <v>#DIV/0!</v>
      </c>
      <c r="G41" s="607" t="e">
        <f t="shared" si="1"/>
        <v>#REF!</v>
      </c>
      <c r="H41" s="598" t="e">
        <f>SUM(H42:H44)</f>
        <v>#REF!</v>
      </c>
      <c r="I41" s="616">
        <v>110</v>
      </c>
      <c r="J41" s="617">
        <f t="shared" si="2"/>
        <v>0</v>
      </c>
    </row>
    <row r="42" spans="1:10" ht="48">
      <c r="A42" s="582" t="s">
        <v>883</v>
      </c>
      <c r="B42" s="566" t="s">
        <v>339</v>
      </c>
      <c r="C42" s="555" t="s">
        <v>340</v>
      </c>
      <c r="D42" s="566">
        <v>32.4</v>
      </c>
      <c r="E42" s="468">
        <v>40</v>
      </c>
      <c r="F42" s="610">
        <f t="shared" si="0"/>
        <v>123.45679012345678</v>
      </c>
      <c r="G42" s="607" t="e">
        <f t="shared" si="1"/>
        <v>#REF!</v>
      </c>
      <c r="H42" s="598" t="e">
        <f>кв!#REF!</f>
        <v>#REF!</v>
      </c>
      <c r="I42" s="616">
        <v>110</v>
      </c>
      <c r="J42" s="617">
        <f t="shared" si="2"/>
        <v>44</v>
      </c>
    </row>
    <row r="43" spans="1:10" ht="48">
      <c r="A43" s="582" t="s">
        <v>15</v>
      </c>
      <c r="B43" s="566" t="s">
        <v>339</v>
      </c>
      <c r="C43" s="555" t="s">
        <v>340</v>
      </c>
      <c r="D43" s="566">
        <v>2057.1</v>
      </c>
      <c r="E43" s="468">
        <v>2674.23</v>
      </c>
      <c r="F43" s="606">
        <f t="shared" si="0"/>
        <v>130</v>
      </c>
      <c r="G43" s="611">
        <f t="shared" si="1"/>
        <v>41.13333557696982</v>
      </c>
      <c r="H43" s="598">
        <f>кв!D69</f>
        <v>1100</v>
      </c>
      <c r="I43" s="616">
        <v>110</v>
      </c>
      <c r="J43" s="617">
        <f>E43*I43%</f>
        <v>2941.6530000000002</v>
      </c>
    </row>
    <row r="44" spans="1:10" ht="36.75" thickBot="1">
      <c r="A44" s="583" t="s">
        <v>883</v>
      </c>
      <c r="B44" s="587" t="s">
        <v>341</v>
      </c>
      <c r="C44" s="556" t="s">
        <v>716</v>
      </c>
      <c r="D44" s="567">
        <v>13.2</v>
      </c>
      <c r="E44" s="568">
        <v>3</v>
      </c>
      <c r="F44" s="612">
        <f t="shared" si="0"/>
        <v>22.727272727272727</v>
      </c>
      <c r="G44" s="613">
        <f t="shared" si="1"/>
        <v>1226.6666666666665</v>
      </c>
      <c r="H44" s="599">
        <f>кв!D74</f>
        <v>36.8</v>
      </c>
      <c r="I44" s="616">
        <v>110</v>
      </c>
      <c r="J44" s="617">
        <f t="shared" si="2"/>
        <v>3.3000000000000003</v>
      </c>
    </row>
    <row r="45" spans="1:10" ht="16.5" thickBot="1">
      <c r="A45" s="584"/>
      <c r="B45" s="542"/>
      <c r="C45" s="588" t="s">
        <v>424</v>
      </c>
      <c r="D45" s="589">
        <f>D44+D43+D42+D33+D24+D12+D9+D6+D5+D4</f>
        <v>52589.012</v>
      </c>
      <c r="E45" s="596">
        <f>E44+E43+E42+E33+E24+E12+E9+E6+E5+E4</f>
        <v>57219.8</v>
      </c>
      <c r="F45" s="590"/>
      <c r="G45" s="592"/>
      <c r="H45" s="595" t="e">
        <f>H4+H5+H6+H9+H12+H24+H33+H42+H43+H44</f>
        <v>#REF!</v>
      </c>
      <c r="I45" s="591"/>
      <c r="J45" s="593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4"/>
  <sheetViews>
    <sheetView zoomScale="88" zoomScaleNormal="88" zoomScalePageLayoutView="0" workbookViewId="0" topLeftCell="A109">
      <selection activeCell="A167" sqref="A167:L265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00390625" style="0" customWidth="1"/>
    <col min="13" max="13" width="10.125" style="0" bestFit="1" customWidth="1"/>
    <col min="14" max="14" width="11.125" style="0" bestFit="1" customWidth="1"/>
  </cols>
  <sheetData>
    <row r="1" spans="4:12" ht="12.75" hidden="1">
      <c r="D1" s="2911" t="s">
        <v>1265</v>
      </c>
      <c r="E1" s="2911"/>
      <c r="F1" s="2911"/>
      <c r="G1" s="2911"/>
      <c r="H1" s="2911"/>
      <c r="I1" s="2911"/>
      <c r="J1" s="2911"/>
      <c r="K1" s="2911"/>
      <c r="L1" s="2911"/>
    </row>
    <row r="2" spans="4:12" ht="12.75" hidden="1">
      <c r="D2" s="2911" t="s">
        <v>1271</v>
      </c>
      <c r="E2" s="2911"/>
      <c r="F2" s="2911"/>
      <c r="G2" s="2911"/>
      <c r="H2" s="2911"/>
      <c r="I2" s="2911"/>
      <c r="J2" s="2911"/>
      <c r="K2" s="2911"/>
      <c r="L2" s="2911"/>
    </row>
    <row r="3" spans="1:12" ht="15" hidden="1">
      <c r="A3" s="2978" t="s">
        <v>94</v>
      </c>
      <c r="B3" s="2978"/>
      <c r="C3" s="2978"/>
      <c r="D3" s="2978"/>
      <c r="E3" s="2978"/>
      <c r="F3" s="2978"/>
      <c r="G3" s="2978"/>
      <c r="H3" s="2978"/>
      <c r="I3" s="2978"/>
      <c r="J3" s="2978"/>
      <c r="K3" s="2978"/>
      <c r="L3" s="2978"/>
    </row>
    <row r="4" spans="1:12" ht="15.75" hidden="1" thickBot="1">
      <c r="A4" s="2978" t="s">
        <v>1134</v>
      </c>
      <c r="B4" s="2978"/>
      <c r="C4" s="2978"/>
      <c r="D4" s="2978"/>
      <c r="E4" s="2978"/>
      <c r="F4" s="2978"/>
      <c r="G4" s="2978"/>
      <c r="H4" s="2978"/>
      <c r="I4" s="2978"/>
      <c r="J4" s="2978"/>
      <c r="K4" s="2978"/>
      <c r="L4" s="2978"/>
    </row>
    <row r="5" spans="1:12" ht="57" hidden="1" thickBot="1">
      <c r="A5" s="367" t="s">
        <v>254</v>
      </c>
      <c r="B5" s="368" t="s">
        <v>443</v>
      </c>
      <c r="C5" s="368" t="s">
        <v>267</v>
      </c>
      <c r="D5" s="368" t="s">
        <v>265</v>
      </c>
      <c r="E5" s="368" t="s">
        <v>110</v>
      </c>
      <c r="F5" s="368" t="s">
        <v>110</v>
      </c>
      <c r="G5" s="374" t="s">
        <v>346</v>
      </c>
      <c r="H5" s="381" t="s">
        <v>303</v>
      </c>
      <c r="I5" s="381" t="s">
        <v>807</v>
      </c>
      <c r="J5" s="536" t="s">
        <v>808</v>
      </c>
      <c r="K5" s="381" t="s">
        <v>793</v>
      </c>
      <c r="L5" s="655" t="s">
        <v>794</v>
      </c>
    </row>
    <row r="6" spans="1:12" ht="13.5" hidden="1" thickBot="1">
      <c r="A6" s="369">
        <v>1</v>
      </c>
      <c r="B6" s="370">
        <v>2</v>
      </c>
      <c r="C6" s="370">
        <v>3</v>
      </c>
      <c r="D6" s="370">
        <v>4</v>
      </c>
      <c r="E6" s="370">
        <v>5</v>
      </c>
      <c r="F6" s="375">
        <v>5</v>
      </c>
      <c r="G6" s="375">
        <v>6</v>
      </c>
      <c r="H6" s="382">
        <v>7</v>
      </c>
      <c r="I6" s="382">
        <v>8</v>
      </c>
      <c r="J6" s="537">
        <v>9</v>
      </c>
      <c r="K6" s="382">
        <v>10</v>
      </c>
      <c r="L6" s="656">
        <v>11</v>
      </c>
    </row>
    <row r="7" spans="1:12" ht="13.5" hidden="1" thickBot="1">
      <c r="A7" s="147" t="s">
        <v>1135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146"/>
    </row>
    <row r="8" spans="1:12" ht="15.75" hidden="1" thickBot="1">
      <c r="A8" s="644" t="s">
        <v>111</v>
      </c>
      <c r="B8" s="645">
        <v>917</v>
      </c>
      <c r="C8" s="645">
        <v>100</v>
      </c>
      <c r="D8" s="645"/>
      <c r="E8" s="645"/>
      <c r="F8" s="646"/>
      <c r="G8" s="646"/>
      <c r="H8" s="647">
        <f aca="true" t="shared" si="0" ref="H8:H29">SUM(I8:L8)</f>
        <v>0</v>
      </c>
      <c r="I8" s="647">
        <f>I9</f>
        <v>0</v>
      </c>
      <c r="J8" s="647">
        <f>J9</f>
        <v>0</v>
      </c>
      <c r="K8" s="647">
        <f>K9</f>
        <v>0</v>
      </c>
      <c r="L8" s="647">
        <f>L9</f>
        <v>0</v>
      </c>
    </row>
    <row r="9" spans="1:12" ht="12.75" hidden="1">
      <c r="A9" s="649" t="s">
        <v>23</v>
      </c>
      <c r="B9" s="641">
        <v>917</v>
      </c>
      <c r="C9" s="641">
        <v>107</v>
      </c>
      <c r="D9" s="641"/>
      <c r="E9" s="641"/>
      <c r="F9" s="642"/>
      <c r="G9" s="642"/>
      <c r="H9" s="643">
        <f t="shared" si="0"/>
        <v>0</v>
      </c>
      <c r="I9" s="643">
        <f>I11</f>
        <v>0</v>
      </c>
      <c r="J9" s="1698">
        <f>J10</f>
        <v>0</v>
      </c>
      <c r="K9" s="672">
        <f>K11</f>
        <v>0</v>
      </c>
      <c r="L9" s="1699">
        <f>L11</f>
        <v>0</v>
      </c>
    </row>
    <row r="10" spans="1:12" ht="14.25" customHeight="1" hidden="1">
      <c r="A10" s="1693" t="s">
        <v>1145</v>
      </c>
      <c r="B10" s="1694">
        <v>917</v>
      </c>
      <c r="C10" s="1694">
        <v>107</v>
      </c>
      <c r="D10" s="1694" t="s">
        <v>1144</v>
      </c>
      <c r="E10" s="1694"/>
      <c r="F10" s="1695"/>
      <c r="G10" s="1695"/>
      <c r="H10" s="1700">
        <f t="shared" si="0"/>
        <v>0</v>
      </c>
      <c r="I10" s="1700">
        <f>I11+I26</f>
        <v>0</v>
      </c>
      <c r="J10" s="1700">
        <f>J11+J26</f>
        <v>0</v>
      </c>
      <c r="K10" s="1700">
        <f>K11+K26</f>
        <v>0</v>
      </c>
      <c r="L10" s="1700">
        <f>L11+L26</f>
        <v>0</v>
      </c>
    </row>
    <row r="11" spans="1:12" ht="12.75" hidden="1">
      <c r="A11" s="385" t="s">
        <v>149</v>
      </c>
      <c r="B11" s="130">
        <v>917</v>
      </c>
      <c r="C11" s="130">
        <v>107</v>
      </c>
      <c r="D11" s="130" t="s">
        <v>150</v>
      </c>
      <c r="E11" s="130"/>
      <c r="F11" s="387"/>
      <c r="G11" s="387"/>
      <c r="H11" s="394">
        <f t="shared" si="0"/>
        <v>0</v>
      </c>
      <c r="I11" s="394">
        <f>I12+I15</f>
        <v>0</v>
      </c>
      <c r="J11" s="394">
        <f>J12+J15</f>
        <v>0</v>
      </c>
      <c r="K11" s="394">
        <f>K12+K15</f>
        <v>0</v>
      </c>
      <c r="L11" s="394">
        <f>L12+L15</f>
        <v>0</v>
      </c>
    </row>
    <row r="12" spans="1:12" ht="36" hidden="1">
      <c r="A12" s="1949" t="s">
        <v>1188</v>
      </c>
      <c r="B12" s="724">
        <v>917</v>
      </c>
      <c r="C12" s="724">
        <v>107</v>
      </c>
      <c r="D12" s="724" t="s">
        <v>150</v>
      </c>
      <c r="E12" s="130"/>
      <c r="F12" s="387">
        <v>100</v>
      </c>
      <c r="G12" s="387"/>
      <c r="H12" s="394">
        <f>SUM(I12:L12)</f>
        <v>0</v>
      </c>
      <c r="I12" s="394">
        <f aca="true" t="shared" si="1" ref="I12:L13">I13</f>
        <v>0</v>
      </c>
      <c r="J12" s="394">
        <f t="shared" si="1"/>
        <v>0</v>
      </c>
      <c r="K12" s="394">
        <f t="shared" si="1"/>
        <v>0</v>
      </c>
      <c r="L12" s="394">
        <f t="shared" si="1"/>
        <v>0</v>
      </c>
    </row>
    <row r="13" spans="1:12" ht="13.5" customHeight="1" hidden="1">
      <c r="A13" s="1161" t="s">
        <v>1077</v>
      </c>
      <c r="B13" s="1701">
        <v>917</v>
      </c>
      <c r="C13" s="1701">
        <v>107</v>
      </c>
      <c r="D13" s="1701" t="s">
        <v>150</v>
      </c>
      <c r="E13" s="1701">
        <v>500</v>
      </c>
      <c r="F13" s="1702">
        <v>121</v>
      </c>
      <c r="G13" s="1702"/>
      <c r="H13" s="1669">
        <f t="shared" si="0"/>
        <v>0</v>
      </c>
      <c r="I13" s="1669">
        <f t="shared" si="1"/>
        <v>0</v>
      </c>
      <c r="J13" s="1669">
        <f t="shared" si="1"/>
        <v>0</v>
      </c>
      <c r="K13" s="1669">
        <f t="shared" si="1"/>
        <v>0</v>
      </c>
      <c r="L13" s="1669">
        <f t="shared" si="1"/>
        <v>0</v>
      </c>
    </row>
    <row r="14" spans="1:14" ht="12.75" hidden="1">
      <c r="A14" s="366" t="s">
        <v>114</v>
      </c>
      <c r="B14" s="373">
        <v>917</v>
      </c>
      <c r="C14" s="373">
        <v>107</v>
      </c>
      <c r="D14" s="373" t="s">
        <v>150</v>
      </c>
      <c r="E14" s="373">
        <v>500</v>
      </c>
      <c r="F14" s="379">
        <v>121</v>
      </c>
      <c r="G14" s="379">
        <v>211</v>
      </c>
      <c r="H14" s="390">
        <f t="shared" si="0"/>
        <v>0</v>
      </c>
      <c r="I14" s="390">
        <v>0</v>
      </c>
      <c r="J14" s="653">
        <v>0</v>
      </c>
      <c r="K14" s="390">
        <v>0</v>
      </c>
      <c r="L14" s="1646">
        <v>0</v>
      </c>
      <c r="M14" s="1692"/>
      <c r="N14" s="38"/>
    </row>
    <row r="15" spans="1:13" ht="12.75" hidden="1">
      <c r="A15" s="385" t="s">
        <v>1186</v>
      </c>
      <c r="B15" s="724">
        <v>917</v>
      </c>
      <c r="C15" s="724">
        <v>107</v>
      </c>
      <c r="D15" s="724" t="s">
        <v>1141</v>
      </c>
      <c r="E15" s="724">
        <v>500</v>
      </c>
      <c r="F15" s="1950">
        <v>200</v>
      </c>
      <c r="G15" s="1950"/>
      <c r="H15" s="715">
        <f>SUM(I15:L15)</f>
        <v>0</v>
      </c>
      <c r="I15" s="715">
        <f>I16</f>
        <v>0</v>
      </c>
      <c r="J15" s="715">
        <f>J16</f>
        <v>0</v>
      </c>
      <c r="K15" s="715">
        <f>K16</f>
        <v>0</v>
      </c>
      <c r="L15" s="715">
        <f>L16</f>
        <v>0</v>
      </c>
      <c r="M15" s="1692"/>
    </row>
    <row r="16" spans="1:13" ht="12.75" hidden="1">
      <c r="A16" s="1161" t="s">
        <v>1063</v>
      </c>
      <c r="B16" s="1168">
        <v>917</v>
      </c>
      <c r="C16" s="1168">
        <v>107</v>
      </c>
      <c r="D16" s="1168" t="s">
        <v>1141</v>
      </c>
      <c r="E16" s="1168">
        <v>500</v>
      </c>
      <c r="F16" s="1162">
        <v>244</v>
      </c>
      <c r="G16" s="1162"/>
      <c r="H16" s="1169">
        <f t="shared" si="0"/>
        <v>0</v>
      </c>
      <c r="I16" s="1169">
        <f>I17+I23</f>
        <v>0</v>
      </c>
      <c r="J16" s="1169">
        <f>J17+J23</f>
        <v>0</v>
      </c>
      <c r="K16" s="1169">
        <f>K17+K23</f>
        <v>0</v>
      </c>
      <c r="L16" s="1169">
        <f>L17+L23</f>
        <v>0</v>
      </c>
      <c r="M16" s="1692"/>
    </row>
    <row r="17" spans="1:12" ht="12.75" hidden="1">
      <c r="A17" s="363" t="s">
        <v>350</v>
      </c>
      <c r="B17" s="127">
        <v>917</v>
      </c>
      <c r="C17" s="127">
        <v>107</v>
      </c>
      <c r="D17" s="127" t="s">
        <v>150</v>
      </c>
      <c r="E17" s="127">
        <v>500</v>
      </c>
      <c r="F17" s="652">
        <v>244</v>
      </c>
      <c r="G17" s="377">
        <v>200</v>
      </c>
      <c r="H17" s="390">
        <f t="shared" si="0"/>
        <v>0</v>
      </c>
      <c r="I17" s="390">
        <f>I18</f>
        <v>0</v>
      </c>
      <c r="J17" s="390">
        <f>J18</f>
        <v>0</v>
      </c>
      <c r="K17" s="390">
        <f>K18</f>
        <v>0</v>
      </c>
      <c r="L17" s="390">
        <f>L18</f>
        <v>0</v>
      </c>
    </row>
    <row r="18" spans="1:12" ht="12.75" hidden="1">
      <c r="A18" s="365" t="s">
        <v>351</v>
      </c>
      <c r="B18" s="372">
        <v>968</v>
      </c>
      <c r="C18" s="372">
        <v>107</v>
      </c>
      <c r="D18" s="372" t="s">
        <v>150</v>
      </c>
      <c r="E18" s="372">
        <v>500</v>
      </c>
      <c r="F18" s="378">
        <v>244</v>
      </c>
      <c r="G18" s="378">
        <v>220</v>
      </c>
      <c r="H18" s="1687">
        <f t="shared" si="0"/>
        <v>0</v>
      </c>
      <c r="I18" s="1687">
        <f>SUM(I19:I22)</f>
        <v>0</v>
      </c>
      <c r="J18" s="1687">
        <f>SUM(J19:J22)</f>
        <v>0</v>
      </c>
      <c r="K18" s="1687">
        <f>SUM(K19:K22)</f>
        <v>0</v>
      </c>
      <c r="L18" s="1688">
        <f>SUM(L19:L22)</f>
        <v>0</v>
      </c>
    </row>
    <row r="19" spans="1:12" ht="12.75" hidden="1">
      <c r="A19" s="366" t="s">
        <v>119</v>
      </c>
      <c r="B19" s="373">
        <v>968</v>
      </c>
      <c r="C19" s="373">
        <v>107</v>
      </c>
      <c r="D19" s="373" t="s">
        <v>150</v>
      </c>
      <c r="E19" s="373">
        <v>500</v>
      </c>
      <c r="F19" s="379">
        <v>244</v>
      </c>
      <c r="G19" s="379">
        <v>221</v>
      </c>
      <c r="H19" s="1687">
        <f t="shared" si="0"/>
        <v>0</v>
      </c>
      <c r="I19" s="1687">
        <v>0</v>
      </c>
      <c r="J19" s="1687">
        <v>0</v>
      </c>
      <c r="K19" s="1687">
        <v>0</v>
      </c>
      <c r="L19" s="1688">
        <v>0</v>
      </c>
    </row>
    <row r="20" spans="1:12" ht="12.75" hidden="1">
      <c r="A20" s="366" t="s">
        <v>120</v>
      </c>
      <c r="B20" s="373">
        <v>968</v>
      </c>
      <c r="C20" s="373">
        <v>107</v>
      </c>
      <c r="D20" s="373" t="s">
        <v>150</v>
      </c>
      <c r="E20" s="373">
        <v>500</v>
      </c>
      <c r="F20" s="379">
        <v>244</v>
      </c>
      <c r="G20" s="379">
        <v>222</v>
      </c>
      <c r="H20" s="1687">
        <f t="shared" si="0"/>
        <v>0</v>
      </c>
      <c r="I20" s="1687">
        <v>0</v>
      </c>
      <c r="J20" s="1687">
        <v>0</v>
      </c>
      <c r="K20" s="1687">
        <v>0</v>
      </c>
      <c r="L20" s="1688">
        <v>0</v>
      </c>
    </row>
    <row r="21" spans="1:12" ht="12.75" hidden="1">
      <c r="A21" s="366" t="s">
        <v>352</v>
      </c>
      <c r="B21" s="373">
        <v>968</v>
      </c>
      <c r="C21" s="373">
        <v>107</v>
      </c>
      <c r="D21" s="373" t="s">
        <v>150</v>
      </c>
      <c r="E21" s="373">
        <v>500</v>
      </c>
      <c r="F21" s="379">
        <v>244</v>
      </c>
      <c r="G21" s="379">
        <v>225</v>
      </c>
      <c r="H21" s="1687">
        <f t="shared" si="0"/>
        <v>0</v>
      </c>
      <c r="I21" s="1687">
        <v>0</v>
      </c>
      <c r="J21" s="1687">
        <v>0</v>
      </c>
      <c r="K21" s="1687">
        <v>0</v>
      </c>
      <c r="L21" s="1688">
        <v>0</v>
      </c>
    </row>
    <row r="22" spans="1:12" ht="12.75" hidden="1">
      <c r="A22" s="366" t="s">
        <v>353</v>
      </c>
      <c r="B22" s="373">
        <v>968</v>
      </c>
      <c r="C22" s="373">
        <v>107</v>
      </c>
      <c r="D22" s="373" t="s">
        <v>150</v>
      </c>
      <c r="E22" s="373">
        <v>500</v>
      </c>
      <c r="F22" s="379">
        <v>244</v>
      </c>
      <c r="G22" s="379">
        <v>226</v>
      </c>
      <c r="H22" s="1687">
        <f t="shared" si="0"/>
        <v>0</v>
      </c>
      <c r="I22" s="1687">
        <v>0</v>
      </c>
      <c r="J22" s="1687">
        <v>0</v>
      </c>
      <c r="K22" s="1687">
        <v>0</v>
      </c>
      <c r="L22" s="1688">
        <v>0</v>
      </c>
    </row>
    <row r="23" spans="1:12" ht="12.75" hidden="1">
      <c r="A23" s="363" t="s">
        <v>354</v>
      </c>
      <c r="B23" s="127">
        <v>917</v>
      </c>
      <c r="C23" s="127">
        <v>107</v>
      </c>
      <c r="D23" s="127" t="s">
        <v>150</v>
      </c>
      <c r="E23" s="127">
        <v>500</v>
      </c>
      <c r="F23" s="652">
        <v>244</v>
      </c>
      <c r="G23" s="377">
        <v>300</v>
      </c>
      <c r="H23" s="1687">
        <f t="shared" si="0"/>
        <v>0</v>
      </c>
      <c r="I23" s="1687">
        <f>SUM(I24:I25)</f>
        <v>0</v>
      </c>
      <c r="J23" s="1687">
        <f>SUM(J24:J25)</f>
        <v>0</v>
      </c>
      <c r="K23" s="1687">
        <f>SUM(K24:K25)</f>
        <v>0</v>
      </c>
      <c r="L23" s="1687">
        <f>SUM(L24:L25)</f>
        <v>0</v>
      </c>
    </row>
    <row r="24" spans="1:12" ht="12.75" hidden="1">
      <c r="A24" s="365" t="s">
        <v>260</v>
      </c>
      <c r="B24" s="372">
        <v>968</v>
      </c>
      <c r="C24" s="372">
        <v>107</v>
      </c>
      <c r="D24" s="372" t="s">
        <v>150</v>
      </c>
      <c r="E24" s="372">
        <v>500</v>
      </c>
      <c r="F24" s="379">
        <v>244</v>
      </c>
      <c r="G24" s="1957">
        <v>310</v>
      </c>
      <c r="H24" s="1687">
        <f>SUM(I24:L24)</f>
        <v>0</v>
      </c>
      <c r="I24" s="1687">
        <v>0</v>
      </c>
      <c r="J24" s="1687">
        <v>0</v>
      </c>
      <c r="K24" s="1687">
        <v>0</v>
      </c>
      <c r="L24" s="1688">
        <v>0</v>
      </c>
    </row>
    <row r="25" spans="1:12" ht="12.75" hidden="1">
      <c r="A25" s="365" t="s">
        <v>261</v>
      </c>
      <c r="B25" s="372">
        <v>968</v>
      </c>
      <c r="C25" s="372">
        <v>107</v>
      </c>
      <c r="D25" s="372" t="s">
        <v>150</v>
      </c>
      <c r="E25" s="372">
        <v>500</v>
      </c>
      <c r="F25" s="379">
        <v>244</v>
      </c>
      <c r="G25" s="379">
        <v>340</v>
      </c>
      <c r="H25" s="1687">
        <f t="shared" si="0"/>
        <v>0</v>
      </c>
      <c r="I25" s="1687">
        <v>0</v>
      </c>
      <c r="J25" s="1687">
        <v>0</v>
      </c>
      <c r="K25" s="1687">
        <v>0</v>
      </c>
      <c r="L25" s="1688">
        <v>0</v>
      </c>
    </row>
    <row r="26" spans="1:12" ht="12.75" hidden="1">
      <c r="A26" s="1696" t="s">
        <v>1143</v>
      </c>
      <c r="B26" s="724">
        <v>917</v>
      </c>
      <c r="C26" s="724">
        <v>107</v>
      </c>
      <c r="D26" s="724" t="s">
        <v>1142</v>
      </c>
      <c r="E26" s="724"/>
      <c r="F26" s="724"/>
      <c r="G26" s="724"/>
      <c r="H26" s="1697">
        <f t="shared" si="0"/>
        <v>0</v>
      </c>
      <c r="I26" s="1697">
        <f aca="true" t="shared" si="2" ref="I26:L28">I27</f>
        <v>0</v>
      </c>
      <c r="J26" s="1697">
        <f t="shared" si="2"/>
        <v>0</v>
      </c>
      <c r="K26" s="1697">
        <f t="shared" si="2"/>
        <v>0</v>
      </c>
      <c r="L26" s="2089">
        <f t="shared" si="2"/>
        <v>0</v>
      </c>
    </row>
    <row r="27" spans="1:12" ht="12.75" hidden="1">
      <c r="A27" s="385" t="s">
        <v>1186</v>
      </c>
      <c r="B27" s="724">
        <v>917</v>
      </c>
      <c r="C27" s="724">
        <v>107</v>
      </c>
      <c r="D27" s="724" t="s">
        <v>1142</v>
      </c>
      <c r="E27" s="724"/>
      <c r="F27" s="724">
        <v>200</v>
      </c>
      <c r="G27" s="724"/>
      <c r="H27" s="1697">
        <f>SUM(I27:L27)</f>
        <v>0</v>
      </c>
      <c r="I27" s="1697">
        <f t="shared" si="2"/>
        <v>0</v>
      </c>
      <c r="J27" s="1697">
        <f t="shared" si="2"/>
        <v>0</v>
      </c>
      <c r="K27" s="1697">
        <f t="shared" si="2"/>
        <v>0</v>
      </c>
      <c r="L27" s="2089">
        <f t="shared" si="2"/>
        <v>0</v>
      </c>
    </row>
    <row r="28" spans="1:12" ht="12.75" hidden="1">
      <c r="A28" s="1161" t="s">
        <v>1063</v>
      </c>
      <c r="B28" s="1168">
        <v>917</v>
      </c>
      <c r="C28" s="1168">
        <v>107</v>
      </c>
      <c r="D28" s="1168" t="s">
        <v>1142</v>
      </c>
      <c r="E28" s="1168"/>
      <c r="F28" s="1168">
        <v>244</v>
      </c>
      <c r="G28" s="1168"/>
      <c r="H28" s="1967">
        <f t="shared" si="0"/>
        <v>0</v>
      </c>
      <c r="I28" s="1967">
        <f t="shared" si="2"/>
        <v>0</v>
      </c>
      <c r="J28" s="1967">
        <f t="shared" si="2"/>
        <v>0</v>
      </c>
      <c r="K28" s="1967">
        <f t="shared" si="2"/>
        <v>0</v>
      </c>
      <c r="L28" s="2090">
        <f t="shared" si="2"/>
        <v>0</v>
      </c>
    </row>
    <row r="29" spans="1:12" ht="13.5" hidden="1" thickBot="1">
      <c r="A29" s="2080" t="s">
        <v>353</v>
      </c>
      <c r="B29" s="1962">
        <v>917</v>
      </c>
      <c r="C29" s="1962">
        <v>107</v>
      </c>
      <c r="D29" s="1962" t="s">
        <v>1142</v>
      </c>
      <c r="E29" s="1962"/>
      <c r="F29" s="1962">
        <v>244</v>
      </c>
      <c r="G29" s="1962">
        <v>226</v>
      </c>
      <c r="H29" s="2081">
        <f t="shared" si="0"/>
        <v>0</v>
      </c>
      <c r="I29" s="2081">
        <v>0</v>
      </c>
      <c r="J29" s="2081">
        <v>0</v>
      </c>
      <c r="K29" s="2081">
        <v>0</v>
      </c>
      <c r="L29" s="2091">
        <v>0</v>
      </c>
    </row>
    <row r="30" spans="1:12" ht="16.5" hidden="1" thickBot="1">
      <c r="A30" s="758" t="s">
        <v>325</v>
      </c>
      <c r="B30" s="879"/>
      <c r="C30" s="879"/>
      <c r="D30" s="879"/>
      <c r="E30" s="879"/>
      <c r="F30" s="879"/>
      <c r="G30" s="1644"/>
      <c r="H30" s="2082">
        <f>H8</f>
        <v>0</v>
      </c>
      <c r="I30" s="2082">
        <f>I8</f>
        <v>0</v>
      </c>
      <c r="J30" s="2082">
        <f>J8</f>
        <v>0</v>
      </c>
      <c r="K30" s="2082">
        <f>K8</f>
        <v>0</v>
      </c>
      <c r="L30" s="2082">
        <f>L8</f>
        <v>0</v>
      </c>
    </row>
    <row r="31" ht="12.75" hidden="1"/>
    <row r="32" spans="1:12" ht="12.75" hidden="1">
      <c r="A32" t="s">
        <v>1262</v>
      </c>
      <c r="I32" s="2979" t="s">
        <v>1263</v>
      </c>
      <c r="J32" s="2979"/>
      <c r="K32" s="2979"/>
      <c r="L32" s="878"/>
    </row>
    <row r="33" spans="1:11" ht="12.75" hidden="1">
      <c r="A33" s="2980"/>
      <c r="B33" s="2980"/>
      <c r="I33" s="2979"/>
      <c r="J33" s="2979"/>
      <c r="K33" s="2979"/>
    </row>
    <row r="34" spans="1:12" ht="22.5" customHeight="1">
      <c r="A34" s="27"/>
      <c r="D34" s="2911" t="s">
        <v>95</v>
      </c>
      <c r="E34" s="2911"/>
      <c r="F34" s="2911"/>
      <c r="G34" s="2911"/>
      <c r="H34" s="2911"/>
      <c r="I34" s="2911"/>
      <c r="J34" s="2911"/>
      <c r="K34" s="2911"/>
      <c r="L34" s="2911"/>
    </row>
    <row r="35" spans="4:12" ht="12.75">
      <c r="D35" s="2911" t="s">
        <v>1354</v>
      </c>
      <c r="E35" s="2911"/>
      <c r="F35" s="2911"/>
      <c r="G35" s="2911"/>
      <c r="H35" s="2911"/>
      <c r="I35" s="2911"/>
      <c r="J35" s="2911"/>
      <c r="K35" s="2911"/>
      <c r="L35" s="2911"/>
    </row>
    <row r="36" spans="4:12" ht="12.75" customHeight="1">
      <c r="D36" s="2911" t="s">
        <v>1358</v>
      </c>
      <c r="E36" s="2911"/>
      <c r="F36" s="2911"/>
      <c r="G36" s="2911"/>
      <c r="H36" s="2911"/>
      <c r="I36" s="2911"/>
      <c r="J36" s="2911"/>
      <c r="K36" s="2911"/>
      <c r="L36" s="2911"/>
    </row>
    <row r="37" spans="4:12" ht="12.75" customHeight="1">
      <c r="D37" s="2911" t="s">
        <v>1384</v>
      </c>
      <c r="E37" s="2911"/>
      <c r="F37" s="2911"/>
      <c r="G37" s="2911"/>
      <c r="H37" s="2911"/>
      <c r="I37" s="2911"/>
      <c r="J37" s="2911"/>
      <c r="K37" s="2911"/>
      <c r="L37" s="2911"/>
    </row>
    <row r="38" spans="4:12" ht="12.75" customHeight="1">
      <c r="D38" s="2911" t="s">
        <v>1385</v>
      </c>
      <c r="E38" s="2911"/>
      <c r="F38" s="2911"/>
      <c r="G38" s="2911"/>
      <c r="H38" s="2911"/>
      <c r="I38" s="2911"/>
      <c r="J38" s="2911"/>
      <c r="K38" s="2911"/>
      <c r="L38" s="2911"/>
    </row>
    <row r="39" spans="4:12" ht="12.75" customHeight="1">
      <c r="D39" s="2911" t="s">
        <v>1401</v>
      </c>
      <c r="E39" s="2911"/>
      <c r="F39" s="2911"/>
      <c r="G39" s="2911"/>
      <c r="H39" s="2911"/>
      <c r="I39" s="2911"/>
      <c r="J39" s="2911"/>
      <c r="K39" s="2911"/>
      <c r="L39" s="2911"/>
    </row>
    <row r="40" spans="4:12" ht="12.75" customHeight="1" hidden="1">
      <c r="D40" s="2911"/>
      <c r="E40" s="2911"/>
      <c r="F40" s="2911"/>
      <c r="G40" s="2911"/>
      <c r="H40" s="2911"/>
      <c r="I40" s="2911"/>
      <c r="J40" s="2911"/>
      <c r="K40" s="2911"/>
      <c r="L40" s="2911"/>
    </row>
    <row r="41" spans="4:12" ht="12.75" customHeight="1" hidden="1">
      <c r="D41" s="2911"/>
      <c r="E41" s="2911"/>
      <c r="F41" s="2911"/>
      <c r="G41" s="2911"/>
      <c r="H41" s="2911"/>
      <c r="I41" s="2911"/>
      <c r="J41" s="2911"/>
      <c r="K41" s="2911"/>
      <c r="L41" s="2911"/>
    </row>
    <row r="42" spans="4:12" ht="12.75" customHeight="1" hidden="1">
      <c r="D42" s="2911"/>
      <c r="E42" s="2911"/>
      <c r="F42" s="2911"/>
      <c r="G42" s="2911"/>
      <c r="H42" s="2911"/>
      <c r="I42" s="2911"/>
      <c r="J42" s="2911"/>
      <c r="K42" s="2911"/>
      <c r="L42" s="2911"/>
    </row>
    <row r="43" spans="4:12" ht="12.75" customHeight="1" hidden="1">
      <c r="D43" s="2911"/>
      <c r="E43" s="2911"/>
      <c r="F43" s="2911"/>
      <c r="G43" s="2911"/>
      <c r="H43" s="2911"/>
      <c r="I43" s="2911"/>
      <c r="J43" s="2911"/>
      <c r="K43" s="2911"/>
      <c r="L43" s="2911"/>
    </row>
    <row r="44" spans="4:12" ht="12.75" customHeight="1" hidden="1">
      <c r="D44" s="2911"/>
      <c r="E44" s="2911"/>
      <c r="F44" s="2911"/>
      <c r="G44" s="2911"/>
      <c r="H44" s="2911"/>
      <c r="I44" s="2911"/>
      <c r="J44" s="2911"/>
      <c r="K44" s="2911"/>
      <c r="L44" s="2911"/>
    </row>
    <row r="45" spans="4:12" ht="12.75" hidden="1">
      <c r="D45" s="2911"/>
      <c r="E45" s="2911"/>
      <c r="F45" s="2911"/>
      <c r="G45" s="2911"/>
      <c r="H45" s="2911"/>
      <c r="I45" s="2911"/>
      <c r="J45" s="2911"/>
      <c r="K45" s="2911"/>
      <c r="L45" s="2911"/>
    </row>
    <row r="46" spans="4:12" ht="12.75" hidden="1">
      <c r="D46" s="2911"/>
      <c r="E46" s="2911"/>
      <c r="F46" s="2911"/>
      <c r="G46" s="2911"/>
      <c r="H46" s="2911"/>
      <c r="I46" s="2911"/>
      <c r="J46" s="2911"/>
      <c r="K46" s="2911"/>
      <c r="L46" s="2911"/>
    </row>
    <row r="47" spans="4:12" ht="12.75" hidden="1"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">
      <c r="A48" s="2978" t="s">
        <v>94</v>
      </c>
      <c r="B48" s="2978"/>
      <c r="C48" s="2978"/>
      <c r="D48" s="2978"/>
      <c r="E48" s="2978"/>
      <c r="F48" s="2978"/>
      <c r="G48" s="2978"/>
      <c r="H48" s="2978"/>
      <c r="I48" s="2978"/>
      <c r="J48" s="2978"/>
      <c r="K48" s="2978"/>
      <c r="L48" s="2978"/>
    </row>
    <row r="49" spans="1:12" ht="15">
      <c r="A49" s="2978" t="s">
        <v>1281</v>
      </c>
      <c r="B49" s="2978"/>
      <c r="C49" s="2978"/>
      <c r="D49" s="2978"/>
      <c r="E49" s="2978"/>
      <c r="F49" s="2978"/>
      <c r="G49" s="2978"/>
      <c r="H49" s="2978"/>
      <c r="I49" s="2978"/>
      <c r="J49" s="2978"/>
      <c r="K49" s="2978"/>
      <c r="L49" s="2978"/>
    </row>
    <row r="50" spans="1:12" ht="15" hidden="1">
      <c r="A50" s="360"/>
      <c r="B50" s="360"/>
      <c r="C50" s="360"/>
      <c r="D50" s="2981" t="s">
        <v>977</v>
      </c>
      <c r="E50" s="2982"/>
      <c r="F50" s="2982"/>
      <c r="G50" s="2982"/>
      <c r="H50" s="2982"/>
      <c r="I50" s="2982"/>
      <c r="J50" s="2982"/>
      <c r="K50" s="2982"/>
      <c r="L50" s="2982"/>
    </row>
    <row r="51" spans="1:12" ht="15" hidden="1">
      <c r="A51" s="360"/>
      <c r="B51" s="360"/>
      <c r="C51" s="360"/>
      <c r="D51" s="2981" t="s">
        <v>993</v>
      </c>
      <c r="E51" s="2982"/>
      <c r="F51" s="2982"/>
      <c r="G51" s="2982"/>
      <c r="H51" s="2982"/>
      <c r="I51" s="2982"/>
      <c r="J51" s="2982"/>
      <c r="K51" s="2982"/>
      <c r="L51" s="2982"/>
    </row>
    <row r="52" spans="1:12" ht="15" hidden="1">
      <c r="A52" s="360"/>
      <c r="B52" s="360"/>
      <c r="C52" s="360"/>
      <c r="D52" s="2981" t="s">
        <v>1261</v>
      </c>
      <c r="E52" s="2982"/>
      <c r="F52" s="2982"/>
      <c r="G52" s="2982"/>
      <c r="H52" s="2982"/>
      <c r="I52" s="2982"/>
      <c r="J52" s="2982"/>
      <c r="K52" s="2982"/>
      <c r="L52" s="2982"/>
    </row>
    <row r="53" spans="1:12" ht="15" hidden="1">
      <c r="A53" s="360"/>
      <c r="B53" s="360"/>
      <c r="C53" s="360"/>
      <c r="D53" s="2981" t="s">
        <v>1270</v>
      </c>
      <c r="E53" s="2982"/>
      <c r="F53" s="2982"/>
      <c r="G53" s="2982"/>
      <c r="H53" s="2982"/>
      <c r="I53" s="2982"/>
      <c r="J53" s="2982"/>
      <c r="K53" s="2982"/>
      <c r="L53" s="2982"/>
    </row>
    <row r="54" spans="1:12" ht="15.75" customHeight="1" thickBot="1">
      <c r="A54" s="2984" t="s">
        <v>253</v>
      </c>
      <c r="B54" s="2984"/>
      <c r="C54" s="2984"/>
      <c r="D54" s="2984"/>
      <c r="E54" s="2984"/>
      <c r="F54" s="2984"/>
      <c r="G54" s="2984"/>
      <c r="H54" s="2984"/>
      <c r="I54" s="2984"/>
      <c r="J54" s="2984"/>
      <c r="K54" s="2984"/>
      <c r="L54" s="2984"/>
    </row>
    <row r="55" spans="1:12" ht="57" thickBot="1">
      <c r="A55" s="367" t="s">
        <v>254</v>
      </c>
      <c r="B55" s="368" t="s">
        <v>443</v>
      </c>
      <c r="C55" s="368" t="s">
        <v>267</v>
      </c>
      <c r="D55" s="368" t="s">
        <v>265</v>
      </c>
      <c r="E55" s="368" t="s">
        <v>110</v>
      </c>
      <c r="F55" s="368" t="s">
        <v>110</v>
      </c>
      <c r="G55" s="374" t="s">
        <v>346</v>
      </c>
      <c r="H55" s="381" t="s">
        <v>303</v>
      </c>
      <c r="I55" s="381" t="s">
        <v>807</v>
      </c>
      <c r="J55" s="536" t="s">
        <v>808</v>
      </c>
      <c r="K55" s="381" t="s">
        <v>793</v>
      </c>
      <c r="L55" s="655" t="s">
        <v>794</v>
      </c>
    </row>
    <row r="56" spans="1:12" ht="13.5" thickBot="1">
      <c r="A56" s="369">
        <v>1</v>
      </c>
      <c r="B56" s="370">
        <v>2</v>
      </c>
      <c r="C56" s="370">
        <v>3</v>
      </c>
      <c r="D56" s="370">
        <v>4</v>
      </c>
      <c r="E56" s="370">
        <v>5</v>
      </c>
      <c r="F56" s="375">
        <v>5</v>
      </c>
      <c r="G56" s="375">
        <v>6</v>
      </c>
      <c r="H56" s="382">
        <v>7</v>
      </c>
      <c r="I56" s="382">
        <v>8</v>
      </c>
      <c r="J56" s="537">
        <v>9</v>
      </c>
      <c r="K56" s="382">
        <v>10</v>
      </c>
      <c r="L56" s="656">
        <v>11</v>
      </c>
    </row>
    <row r="57" spans="1:13" ht="21" customHeight="1" thickBot="1">
      <c r="A57" s="867" t="s">
        <v>92</v>
      </c>
      <c r="B57" s="1668">
        <v>925</v>
      </c>
      <c r="C57" s="868"/>
      <c r="D57" s="868"/>
      <c r="E57" s="868"/>
      <c r="F57" s="869"/>
      <c r="G57" s="869"/>
      <c r="H57" s="648">
        <f>SUM(I57:L57)</f>
        <v>4378</v>
      </c>
      <c r="I57" s="648">
        <f>I58</f>
        <v>1193.9920000000002</v>
      </c>
      <c r="J57" s="648">
        <f>J58</f>
        <v>1589.786</v>
      </c>
      <c r="K57" s="648">
        <f>K58</f>
        <v>822.0050000000001</v>
      </c>
      <c r="L57" s="2258">
        <f>L58</f>
        <v>772.2170000000001</v>
      </c>
      <c r="M57" s="912"/>
    </row>
    <row r="58" spans="1:13" ht="23.25" customHeight="1" thickBot="1">
      <c r="A58" s="644" t="s">
        <v>111</v>
      </c>
      <c r="B58" s="645">
        <v>925</v>
      </c>
      <c r="C58" s="645">
        <v>100</v>
      </c>
      <c r="D58" s="645"/>
      <c r="E58" s="645"/>
      <c r="F58" s="646"/>
      <c r="G58" s="646"/>
      <c r="H58" s="647">
        <f>SUM(I58:L58)</f>
        <v>4378</v>
      </c>
      <c r="I58" s="647">
        <f>I59+I66+I103</f>
        <v>1193.9920000000002</v>
      </c>
      <c r="J58" s="647">
        <f>J59+J66+J103</f>
        <v>1589.786</v>
      </c>
      <c r="K58" s="647">
        <f>K59+K66+K103</f>
        <v>822.0050000000001</v>
      </c>
      <c r="L58" s="647">
        <f>L59+L66+L103</f>
        <v>772.2170000000001</v>
      </c>
      <c r="M58" s="912"/>
    </row>
    <row r="59" spans="1:13" ht="30" customHeight="1">
      <c r="A59" s="649" t="s">
        <v>141</v>
      </c>
      <c r="B59" s="641">
        <v>925</v>
      </c>
      <c r="C59" s="641">
        <v>102</v>
      </c>
      <c r="D59" s="641"/>
      <c r="E59" s="641"/>
      <c r="F59" s="642"/>
      <c r="G59" s="642"/>
      <c r="H59" s="1673">
        <f aca="true" t="shared" si="3" ref="H59:L60">H60</f>
        <v>1117.234</v>
      </c>
      <c r="I59" s="1673">
        <f t="shared" si="3"/>
        <v>291.865</v>
      </c>
      <c r="J59" s="1674">
        <f t="shared" si="3"/>
        <v>286.304</v>
      </c>
      <c r="K59" s="1675">
        <f t="shared" si="3"/>
        <v>289.084</v>
      </c>
      <c r="L59" s="1675">
        <f t="shared" si="3"/>
        <v>249.981</v>
      </c>
      <c r="M59" s="912"/>
    </row>
    <row r="60" spans="1:13" ht="18" customHeight="1">
      <c r="A60" s="362" t="s">
        <v>458</v>
      </c>
      <c r="B60" s="137">
        <v>925</v>
      </c>
      <c r="C60" s="137">
        <v>102</v>
      </c>
      <c r="D60" s="137" t="s">
        <v>459</v>
      </c>
      <c r="E60" s="137"/>
      <c r="F60" s="380"/>
      <c r="G60" s="380"/>
      <c r="H60" s="1676">
        <f>SUM(I60:L60)</f>
        <v>1117.234</v>
      </c>
      <c r="I60" s="1676">
        <f>I61</f>
        <v>291.865</v>
      </c>
      <c r="J60" s="1676">
        <f t="shared" si="3"/>
        <v>286.304</v>
      </c>
      <c r="K60" s="1676">
        <f t="shared" si="3"/>
        <v>289.084</v>
      </c>
      <c r="L60" s="1676">
        <f t="shared" si="3"/>
        <v>249.981</v>
      </c>
      <c r="M60" s="912"/>
    </row>
    <row r="61" spans="1:13" ht="36.75" customHeight="1">
      <c r="A61" s="1949" t="s">
        <v>1188</v>
      </c>
      <c r="B61" s="724">
        <v>925</v>
      </c>
      <c r="C61" s="724">
        <v>102</v>
      </c>
      <c r="D61" s="724" t="s">
        <v>459</v>
      </c>
      <c r="E61" s="724"/>
      <c r="F61" s="1950">
        <v>100</v>
      </c>
      <c r="G61" s="1950"/>
      <c r="H61" s="1964">
        <f>SUM(I61:L61)</f>
        <v>1117.234</v>
      </c>
      <c r="I61" s="1964">
        <f>I62</f>
        <v>291.865</v>
      </c>
      <c r="J61" s="1964">
        <f aca="true" t="shared" si="4" ref="J61:L62">J62</f>
        <v>286.304</v>
      </c>
      <c r="K61" s="1964">
        <f t="shared" si="4"/>
        <v>289.084</v>
      </c>
      <c r="L61" s="1964">
        <f t="shared" si="4"/>
        <v>249.981</v>
      </c>
      <c r="M61" s="912"/>
    </row>
    <row r="62" spans="1:13" ht="12.75">
      <c r="A62" s="1161" t="s">
        <v>1077</v>
      </c>
      <c r="B62" s="1168">
        <v>925</v>
      </c>
      <c r="C62" s="1168">
        <v>102</v>
      </c>
      <c r="D62" s="1168" t="s">
        <v>459</v>
      </c>
      <c r="E62" s="1168">
        <v>500</v>
      </c>
      <c r="F62" s="1162">
        <v>121</v>
      </c>
      <c r="G62" s="1162"/>
      <c r="H62" s="1965">
        <f>SUM(I62:L62)</f>
        <v>1117.234</v>
      </c>
      <c r="I62" s="1965">
        <f>I63</f>
        <v>291.865</v>
      </c>
      <c r="J62" s="1966">
        <f t="shared" si="4"/>
        <v>286.304</v>
      </c>
      <c r="K62" s="1965">
        <f t="shared" si="4"/>
        <v>289.084</v>
      </c>
      <c r="L62" s="1965">
        <f t="shared" si="4"/>
        <v>249.981</v>
      </c>
      <c r="M62" s="912"/>
    </row>
    <row r="63" spans="1:13" ht="12.75">
      <c r="A63" s="365" t="s">
        <v>347</v>
      </c>
      <c r="B63" s="372">
        <v>925</v>
      </c>
      <c r="C63" s="372">
        <v>102</v>
      </c>
      <c r="D63" s="372" t="s">
        <v>348</v>
      </c>
      <c r="E63" s="372">
        <v>500</v>
      </c>
      <c r="F63" s="378">
        <v>121</v>
      </c>
      <c r="G63" s="378">
        <v>210</v>
      </c>
      <c r="H63" s="1677">
        <f>SUM(H64:H65)</f>
        <v>1117.234</v>
      </c>
      <c r="I63" s="1677">
        <f>SUM(I64:I65)</f>
        <v>291.865</v>
      </c>
      <c r="J63" s="1678">
        <f>SUM(J64:J65)</f>
        <v>286.304</v>
      </c>
      <c r="K63" s="1677">
        <f>SUM(K64:K65)</f>
        <v>289.084</v>
      </c>
      <c r="L63" s="1677">
        <f>SUM(L64:L65)</f>
        <v>249.981</v>
      </c>
      <c r="M63" s="912"/>
    </row>
    <row r="64" spans="1:13" ht="12.75">
      <c r="A64" s="366" t="s">
        <v>114</v>
      </c>
      <c r="B64" s="373">
        <v>925</v>
      </c>
      <c r="C64" s="373">
        <v>102</v>
      </c>
      <c r="D64" s="373" t="s">
        <v>348</v>
      </c>
      <c r="E64" s="373">
        <v>500</v>
      </c>
      <c r="F64" s="379">
        <v>121</v>
      </c>
      <c r="G64" s="379">
        <v>211</v>
      </c>
      <c r="H64" s="1679">
        <f>SUM(I64:L64)</f>
        <v>888.125</v>
      </c>
      <c r="I64" s="1679">
        <f>222.032+3.062</f>
        <v>225.09400000000002</v>
      </c>
      <c r="J64" s="1680">
        <f>222.031-3.062</f>
        <v>218.969</v>
      </c>
      <c r="K64" s="1681">
        <v>222.031</v>
      </c>
      <c r="L64" s="1679">
        <v>222.031</v>
      </c>
      <c r="M64" s="912"/>
    </row>
    <row r="65" spans="1:13" ht="14.25" customHeight="1">
      <c r="A65" s="366" t="s">
        <v>349</v>
      </c>
      <c r="B65" s="373">
        <v>925</v>
      </c>
      <c r="C65" s="373">
        <v>102</v>
      </c>
      <c r="D65" s="373" t="s">
        <v>348</v>
      </c>
      <c r="E65" s="373">
        <v>500</v>
      </c>
      <c r="F65" s="379">
        <v>121</v>
      </c>
      <c r="G65" s="379">
        <v>213</v>
      </c>
      <c r="H65" s="1679">
        <f>SUM(I65:L65)</f>
        <v>229.10899999999998</v>
      </c>
      <c r="I65" s="1679">
        <f>67.053-0.282</f>
        <v>66.771</v>
      </c>
      <c r="J65" s="1682">
        <f>67.053+0.282</f>
        <v>67.335</v>
      </c>
      <c r="K65" s="1679">
        <v>67.053</v>
      </c>
      <c r="L65" s="1679">
        <v>27.95</v>
      </c>
      <c r="M65" s="912"/>
    </row>
    <row r="66" spans="1:13" ht="45.75" customHeight="1">
      <c r="A66" s="386" t="s">
        <v>926</v>
      </c>
      <c r="B66" s="371">
        <v>925</v>
      </c>
      <c r="C66" s="371">
        <v>103</v>
      </c>
      <c r="D66" s="371"/>
      <c r="E66" s="371"/>
      <c r="F66" s="376"/>
      <c r="G66" s="376"/>
      <c r="H66" s="393">
        <f>H67+H82</f>
        <v>3260.7660000000005</v>
      </c>
      <c r="I66" s="393">
        <f>I67+I82</f>
        <v>902.1270000000001</v>
      </c>
      <c r="J66" s="1645">
        <f>J67+J82</f>
        <v>1303.482</v>
      </c>
      <c r="K66" s="393">
        <f>K67+K82</f>
        <v>532.921</v>
      </c>
      <c r="L66" s="393">
        <f>L67+L82</f>
        <v>522.2360000000001</v>
      </c>
      <c r="M66" s="912"/>
    </row>
    <row r="67" spans="1:13" ht="25.5" customHeight="1">
      <c r="A67" s="362" t="s">
        <v>477</v>
      </c>
      <c r="B67" s="137">
        <v>925</v>
      </c>
      <c r="C67" s="137">
        <v>103</v>
      </c>
      <c r="D67" s="137" t="s">
        <v>56</v>
      </c>
      <c r="E67" s="137"/>
      <c r="F67" s="380"/>
      <c r="G67" s="380"/>
      <c r="H67" s="391">
        <f>H68+H77</f>
        <v>1225.24</v>
      </c>
      <c r="I67" s="391">
        <f>I68+I77</f>
        <v>311.12300000000005</v>
      </c>
      <c r="J67" s="654">
        <f>J68+J77</f>
        <v>306.84000000000003</v>
      </c>
      <c r="K67" s="391">
        <f>K68+K77</f>
        <v>308.981</v>
      </c>
      <c r="L67" s="391">
        <f>L68+L77</f>
        <v>298.29600000000005</v>
      </c>
      <c r="M67" s="912"/>
    </row>
    <row r="68" spans="1:13" ht="25.5" customHeight="1">
      <c r="A68" s="363" t="s">
        <v>57</v>
      </c>
      <c r="B68" s="723">
        <v>925</v>
      </c>
      <c r="C68" s="723">
        <v>103</v>
      </c>
      <c r="D68" s="723" t="s">
        <v>58</v>
      </c>
      <c r="E68" s="723"/>
      <c r="F68" s="725"/>
      <c r="G68" s="725"/>
      <c r="H68" s="391">
        <f>H70</f>
        <v>960.64</v>
      </c>
      <c r="I68" s="391">
        <f aca="true" t="shared" si="5" ref="I68:L70">I69</f>
        <v>244.973</v>
      </c>
      <c r="J68" s="391">
        <f t="shared" si="5"/>
        <v>240.69</v>
      </c>
      <c r="K68" s="391">
        <f t="shared" si="5"/>
        <v>242.83100000000002</v>
      </c>
      <c r="L68" s="391">
        <f t="shared" si="5"/>
        <v>232.14600000000002</v>
      </c>
      <c r="M68" s="912"/>
    </row>
    <row r="69" spans="1:13" ht="37.5" customHeight="1">
      <c r="A69" s="1949" t="s">
        <v>1188</v>
      </c>
      <c r="B69" s="724">
        <v>925</v>
      </c>
      <c r="C69" s="724">
        <v>103</v>
      </c>
      <c r="D69" s="724" t="s">
        <v>58</v>
      </c>
      <c r="E69" s="724"/>
      <c r="F69" s="1950">
        <v>100</v>
      </c>
      <c r="G69" s="1950"/>
      <c r="H69" s="394">
        <f>SUM(I69:L69)</f>
        <v>960.6400000000001</v>
      </c>
      <c r="I69" s="394">
        <f t="shared" si="5"/>
        <v>244.973</v>
      </c>
      <c r="J69" s="394">
        <f t="shared" si="5"/>
        <v>240.69</v>
      </c>
      <c r="K69" s="394">
        <f t="shared" si="5"/>
        <v>242.83100000000002</v>
      </c>
      <c r="L69" s="394">
        <f t="shared" si="5"/>
        <v>232.14600000000002</v>
      </c>
      <c r="M69" s="912"/>
    </row>
    <row r="70" spans="1:13" ht="12.75">
      <c r="A70" s="1161" t="s">
        <v>1077</v>
      </c>
      <c r="B70" s="1168">
        <v>925</v>
      </c>
      <c r="C70" s="1168">
        <v>103</v>
      </c>
      <c r="D70" s="1168" t="s">
        <v>58</v>
      </c>
      <c r="E70" s="1168">
        <v>500</v>
      </c>
      <c r="F70" s="1162">
        <v>121</v>
      </c>
      <c r="G70" s="1162"/>
      <c r="H70" s="1669">
        <f>H71</f>
        <v>960.64</v>
      </c>
      <c r="I70" s="1669">
        <f t="shared" si="5"/>
        <v>244.973</v>
      </c>
      <c r="J70" s="1671">
        <f t="shared" si="5"/>
        <v>240.69</v>
      </c>
      <c r="K70" s="1669">
        <f t="shared" si="5"/>
        <v>242.83100000000002</v>
      </c>
      <c r="L70" s="1669">
        <f t="shared" si="5"/>
        <v>232.14600000000002</v>
      </c>
      <c r="M70" s="912"/>
    </row>
    <row r="71" spans="1:13" ht="12.75">
      <c r="A71" s="363" t="s">
        <v>350</v>
      </c>
      <c r="B71" s="127">
        <v>925</v>
      </c>
      <c r="C71" s="127">
        <v>103</v>
      </c>
      <c r="D71" s="127" t="s">
        <v>59</v>
      </c>
      <c r="E71" s="127">
        <v>500</v>
      </c>
      <c r="F71" s="377">
        <v>121</v>
      </c>
      <c r="G71" s="377">
        <v>200</v>
      </c>
      <c r="H71" s="635">
        <f>H72+H75</f>
        <v>960.64</v>
      </c>
      <c r="I71" s="635">
        <f>I72+I75</f>
        <v>244.973</v>
      </c>
      <c r="J71" s="1672">
        <f>J72+J75</f>
        <v>240.69</v>
      </c>
      <c r="K71" s="635">
        <f>K72+K75</f>
        <v>242.83100000000002</v>
      </c>
      <c r="L71" s="635">
        <f>L72+L75</f>
        <v>232.14600000000002</v>
      </c>
      <c r="M71" s="912"/>
    </row>
    <row r="72" spans="1:13" ht="12.75">
      <c r="A72" s="365" t="s">
        <v>347</v>
      </c>
      <c r="B72" s="372">
        <v>925</v>
      </c>
      <c r="C72" s="372">
        <v>103</v>
      </c>
      <c r="D72" s="372" t="s">
        <v>59</v>
      </c>
      <c r="E72" s="372">
        <v>500</v>
      </c>
      <c r="F72" s="378">
        <v>121</v>
      </c>
      <c r="G72" s="378">
        <v>210</v>
      </c>
      <c r="H72" s="392">
        <f>SUM(H73:H74)</f>
        <v>960.64</v>
      </c>
      <c r="I72" s="392">
        <f>SUM(I73:I74)</f>
        <v>244.973</v>
      </c>
      <c r="J72" s="2340">
        <f>SUM(J73:J74)</f>
        <v>240.69</v>
      </c>
      <c r="K72" s="392">
        <f>SUM(K73:K74)</f>
        <v>242.83100000000002</v>
      </c>
      <c r="L72" s="392">
        <f>SUM(L73:L74)</f>
        <v>232.14600000000002</v>
      </c>
      <c r="M72" s="912"/>
    </row>
    <row r="73" spans="1:13" ht="12.75">
      <c r="A73" s="366" t="s">
        <v>114</v>
      </c>
      <c r="B73" s="373">
        <v>925</v>
      </c>
      <c r="C73" s="373">
        <v>103</v>
      </c>
      <c r="D73" s="373" t="s">
        <v>59</v>
      </c>
      <c r="E73" s="373">
        <v>500</v>
      </c>
      <c r="F73" s="379">
        <v>121</v>
      </c>
      <c r="G73" s="379">
        <v>211</v>
      </c>
      <c r="H73" s="390">
        <f>SUM(I73:L73)</f>
        <v>746.025</v>
      </c>
      <c r="I73" s="390">
        <f>186.507+2.572</f>
        <v>189.079</v>
      </c>
      <c r="J73" s="2341">
        <f>186.506-2.572</f>
        <v>183.934</v>
      </c>
      <c r="K73" s="384">
        <v>186.506</v>
      </c>
      <c r="L73" s="384">
        <v>186.506</v>
      </c>
      <c r="M73" s="912"/>
    </row>
    <row r="74" spans="1:13" ht="16.5" customHeight="1">
      <c r="A74" s="366" t="s">
        <v>349</v>
      </c>
      <c r="B74" s="373">
        <v>925</v>
      </c>
      <c r="C74" s="373">
        <v>103</v>
      </c>
      <c r="D74" s="373" t="s">
        <v>59</v>
      </c>
      <c r="E74" s="373">
        <v>500</v>
      </c>
      <c r="F74" s="379">
        <v>121</v>
      </c>
      <c r="G74" s="379">
        <v>213</v>
      </c>
      <c r="H74" s="390">
        <f>SUM(I74:L74)</f>
        <v>214.615</v>
      </c>
      <c r="I74" s="384">
        <f>56.325-0.431</f>
        <v>55.894000000000005</v>
      </c>
      <c r="J74" s="2341">
        <f>56.325+0.431</f>
        <v>56.756</v>
      </c>
      <c r="K74" s="384">
        <v>56.325</v>
      </c>
      <c r="L74" s="384">
        <v>45.64</v>
      </c>
      <c r="M74" s="912"/>
    </row>
    <row r="75" spans="1:13" ht="16.5" customHeight="1" hidden="1">
      <c r="A75" s="365" t="s">
        <v>351</v>
      </c>
      <c r="B75" s="372">
        <v>925</v>
      </c>
      <c r="C75" s="372">
        <v>103</v>
      </c>
      <c r="D75" s="372" t="s">
        <v>59</v>
      </c>
      <c r="E75" s="372">
        <v>500</v>
      </c>
      <c r="F75" s="378"/>
      <c r="G75" s="378">
        <v>220</v>
      </c>
      <c r="H75" s="392">
        <f>H76</f>
        <v>0</v>
      </c>
      <c r="I75" s="392">
        <f>I76</f>
        <v>0</v>
      </c>
      <c r="J75" s="2340">
        <f>J76</f>
        <v>0</v>
      </c>
      <c r="K75" s="392">
        <f>K76</f>
        <v>0</v>
      </c>
      <c r="L75" s="392">
        <f>L76</f>
        <v>0</v>
      </c>
      <c r="M75" s="912"/>
    </row>
    <row r="76" spans="1:13" ht="16.5" customHeight="1" hidden="1">
      <c r="A76" s="366" t="s">
        <v>353</v>
      </c>
      <c r="B76" s="373">
        <v>925</v>
      </c>
      <c r="C76" s="373">
        <v>103</v>
      </c>
      <c r="D76" s="373" t="s">
        <v>59</v>
      </c>
      <c r="E76" s="373">
        <v>500</v>
      </c>
      <c r="F76" s="379"/>
      <c r="G76" s="379">
        <v>226</v>
      </c>
      <c r="H76" s="390">
        <f>SUM(I76:L76)</f>
        <v>0</v>
      </c>
      <c r="I76" s="390">
        <v>0</v>
      </c>
      <c r="J76" s="653">
        <v>0</v>
      </c>
      <c r="K76" s="390">
        <v>0</v>
      </c>
      <c r="L76" s="390">
        <v>0</v>
      </c>
      <c r="M76" s="912"/>
    </row>
    <row r="77" spans="1:13" ht="26.25" customHeight="1">
      <c r="A77" s="363" t="s">
        <v>1003</v>
      </c>
      <c r="B77" s="723">
        <v>925</v>
      </c>
      <c r="C77" s="723">
        <v>103</v>
      </c>
      <c r="D77" s="723" t="s">
        <v>60</v>
      </c>
      <c r="E77" s="723"/>
      <c r="F77" s="1963"/>
      <c r="G77" s="725"/>
      <c r="H77" s="391">
        <f>H79</f>
        <v>264.6</v>
      </c>
      <c r="I77" s="391">
        <f aca="true" t="shared" si="6" ref="I77:L78">I78</f>
        <v>66.15</v>
      </c>
      <c r="J77" s="391">
        <f t="shared" si="6"/>
        <v>66.15</v>
      </c>
      <c r="K77" s="391">
        <f t="shared" si="6"/>
        <v>66.15</v>
      </c>
      <c r="L77" s="391">
        <f t="shared" si="6"/>
        <v>66.15</v>
      </c>
      <c r="M77" s="912"/>
    </row>
    <row r="78" spans="1:13" ht="42.75" customHeight="1">
      <c r="A78" s="1949" t="s">
        <v>1188</v>
      </c>
      <c r="B78" s="724">
        <v>925</v>
      </c>
      <c r="C78" s="724">
        <v>103</v>
      </c>
      <c r="D78" s="724" t="s">
        <v>60</v>
      </c>
      <c r="E78" s="724"/>
      <c r="F78" s="1950">
        <v>100</v>
      </c>
      <c r="G78" s="1950"/>
      <c r="H78" s="394">
        <f>SUM(I78:L78)</f>
        <v>264.6</v>
      </c>
      <c r="I78" s="394">
        <f t="shared" si="6"/>
        <v>66.15</v>
      </c>
      <c r="J78" s="394">
        <f t="shared" si="6"/>
        <v>66.15</v>
      </c>
      <c r="K78" s="394">
        <f t="shared" si="6"/>
        <v>66.15</v>
      </c>
      <c r="L78" s="394">
        <f t="shared" si="6"/>
        <v>66.15</v>
      </c>
      <c r="M78" s="912"/>
    </row>
    <row r="79" spans="1:13" ht="36">
      <c r="A79" s="1161" t="s">
        <v>1185</v>
      </c>
      <c r="B79" s="1168">
        <v>925</v>
      </c>
      <c r="C79" s="1168">
        <v>103</v>
      </c>
      <c r="D79" s="1168" t="s">
        <v>60</v>
      </c>
      <c r="E79" s="1168">
        <v>500</v>
      </c>
      <c r="F79" s="1162">
        <f>F80</f>
        <v>123</v>
      </c>
      <c r="G79" s="1162"/>
      <c r="H79" s="1669">
        <f aca="true" t="shared" si="7" ref="H79:L80">H80</f>
        <v>264.6</v>
      </c>
      <c r="I79" s="1669">
        <f t="shared" si="7"/>
        <v>66.15</v>
      </c>
      <c r="J79" s="1671">
        <f t="shared" si="7"/>
        <v>66.15</v>
      </c>
      <c r="K79" s="1669">
        <f t="shared" si="7"/>
        <v>66.15</v>
      </c>
      <c r="L79" s="1669">
        <f t="shared" si="7"/>
        <v>66.15</v>
      </c>
      <c r="M79" s="912"/>
    </row>
    <row r="80" spans="1:13" ht="12.75">
      <c r="A80" s="365" t="s">
        <v>351</v>
      </c>
      <c r="B80" s="372">
        <v>925</v>
      </c>
      <c r="C80" s="372">
        <v>103</v>
      </c>
      <c r="D80" s="372" t="s">
        <v>61</v>
      </c>
      <c r="E80" s="372">
        <v>500</v>
      </c>
      <c r="F80" s="378">
        <f>F81</f>
        <v>123</v>
      </c>
      <c r="G80" s="378">
        <v>220</v>
      </c>
      <c r="H80" s="392">
        <f t="shared" si="7"/>
        <v>264.6</v>
      </c>
      <c r="I80" s="392">
        <f t="shared" si="7"/>
        <v>66.15</v>
      </c>
      <c r="J80" s="2340">
        <f t="shared" si="7"/>
        <v>66.15</v>
      </c>
      <c r="K80" s="392">
        <f t="shared" si="7"/>
        <v>66.15</v>
      </c>
      <c r="L80" s="392">
        <f t="shared" si="7"/>
        <v>66.15</v>
      </c>
      <c r="M80" s="912"/>
    </row>
    <row r="81" spans="1:13" ht="12.75">
      <c r="A81" s="366" t="s">
        <v>353</v>
      </c>
      <c r="B81" s="373">
        <v>925</v>
      </c>
      <c r="C81" s="373">
        <v>103</v>
      </c>
      <c r="D81" s="373" t="s">
        <v>61</v>
      </c>
      <c r="E81" s="373">
        <v>500</v>
      </c>
      <c r="F81" s="379">
        <v>123</v>
      </c>
      <c r="G81" s="379">
        <v>226</v>
      </c>
      <c r="H81" s="390">
        <f>SUM(I81:L81)</f>
        <v>264.6</v>
      </c>
      <c r="I81" s="390">
        <v>66.15</v>
      </c>
      <c r="J81" s="653">
        <v>66.15</v>
      </c>
      <c r="K81" s="390">
        <v>66.15</v>
      </c>
      <c r="L81" s="390">
        <v>66.15</v>
      </c>
      <c r="M81" s="912"/>
    </row>
    <row r="82" spans="1:13" ht="14.25" customHeight="1">
      <c r="A82" s="362" t="s">
        <v>55</v>
      </c>
      <c r="B82" s="137">
        <v>925</v>
      </c>
      <c r="C82" s="137">
        <v>103</v>
      </c>
      <c r="D82" s="137" t="s">
        <v>474</v>
      </c>
      <c r="E82" s="137"/>
      <c r="F82" s="380"/>
      <c r="G82" s="380"/>
      <c r="H82" s="391">
        <f>SUM(I82:L82)</f>
        <v>2035.5260000000003</v>
      </c>
      <c r="I82" s="391">
        <f>I83+I89+I99</f>
        <v>591.004</v>
      </c>
      <c r="J82" s="391">
        <f>J83+J89+J99</f>
        <v>996.642</v>
      </c>
      <c r="K82" s="391">
        <f>K83+K89+K99</f>
        <v>223.94</v>
      </c>
      <c r="L82" s="391">
        <f>L83+L89+L99</f>
        <v>223.94</v>
      </c>
      <c r="M82" s="912"/>
    </row>
    <row r="83" spans="1:13" ht="42.75" customHeight="1">
      <c r="A83" s="1949" t="s">
        <v>1188</v>
      </c>
      <c r="B83" s="724">
        <v>925</v>
      </c>
      <c r="C83" s="724">
        <v>103</v>
      </c>
      <c r="D83" s="724" t="s">
        <v>474</v>
      </c>
      <c r="E83" s="724"/>
      <c r="F83" s="1950">
        <v>100</v>
      </c>
      <c r="G83" s="1950"/>
      <c r="H83" s="394">
        <f>SUM(I83:L83)</f>
        <v>817.6780000000001</v>
      </c>
      <c r="I83" s="394">
        <f>I84</f>
        <v>201.014</v>
      </c>
      <c r="J83" s="394">
        <f>J84</f>
        <v>215.534</v>
      </c>
      <c r="K83" s="394">
        <f>K84</f>
        <v>200.565</v>
      </c>
      <c r="L83" s="394">
        <f>L84</f>
        <v>200.565</v>
      </c>
      <c r="M83" s="912"/>
    </row>
    <row r="84" spans="1:13" ht="12.75">
      <c r="A84" s="1161" t="s">
        <v>1077</v>
      </c>
      <c r="B84" s="1168">
        <v>925</v>
      </c>
      <c r="C84" s="1168">
        <v>103</v>
      </c>
      <c r="D84" s="1168" t="s">
        <v>474</v>
      </c>
      <c r="E84" s="1168">
        <v>500</v>
      </c>
      <c r="F84" s="1162">
        <v>121</v>
      </c>
      <c r="G84" s="1165"/>
      <c r="H84" s="1669">
        <f aca="true" t="shared" si="8" ref="H84:L85">H85</f>
        <v>817.6779999999999</v>
      </c>
      <c r="I84" s="1669">
        <f t="shared" si="8"/>
        <v>201.014</v>
      </c>
      <c r="J84" s="1671">
        <f t="shared" si="8"/>
        <v>215.534</v>
      </c>
      <c r="K84" s="1669">
        <f t="shared" si="8"/>
        <v>200.565</v>
      </c>
      <c r="L84" s="1669">
        <f t="shared" si="8"/>
        <v>200.565</v>
      </c>
      <c r="M84" s="912"/>
    </row>
    <row r="85" spans="1:13" ht="12.75">
      <c r="A85" s="363" t="s">
        <v>350</v>
      </c>
      <c r="B85" s="127">
        <v>925</v>
      </c>
      <c r="C85" s="127">
        <v>103</v>
      </c>
      <c r="D85" s="127" t="s">
        <v>1079</v>
      </c>
      <c r="E85" s="127">
        <v>500</v>
      </c>
      <c r="F85" s="377">
        <v>121</v>
      </c>
      <c r="G85" s="377">
        <v>200</v>
      </c>
      <c r="H85" s="635">
        <f>H86</f>
        <v>817.6779999999999</v>
      </c>
      <c r="I85" s="635">
        <f t="shared" si="8"/>
        <v>201.014</v>
      </c>
      <c r="J85" s="1672">
        <f t="shared" si="8"/>
        <v>215.534</v>
      </c>
      <c r="K85" s="635">
        <f t="shared" si="8"/>
        <v>200.565</v>
      </c>
      <c r="L85" s="635">
        <f t="shared" si="8"/>
        <v>200.565</v>
      </c>
      <c r="M85" s="912"/>
    </row>
    <row r="86" spans="1:13" ht="12.75">
      <c r="A86" s="365" t="s">
        <v>347</v>
      </c>
      <c r="B86" s="372">
        <v>925</v>
      </c>
      <c r="C86" s="372">
        <v>103</v>
      </c>
      <c r="D86" s="372" t="s">
        <v>1079</v>
      </c>
      <c r="E86" s="372">
        <v>500</v>
      </c>
      <c r="F86" s="378">
        <v>121</v>
      </c>
      <c r="G86" s="378">
        <v>210</v>
      </c>
      <c r="H86" s="383">
        <f>SUM(H87:H88)</f>
        <v>817.6779999999999</v>
      </c>
      <c r="I86" s="383">
        <f>SUM(I87:I88)</f>
        <v>201.014</v>
      </c>
      <c r="J86" s="2342">
        <f>SUM(J87:J88)</f>
        <v>215.534</v>
      </c>
      <c r="K86" s="383">
        <f>SUM(K87:K88)</f>
        <v>200.565</v>
      </c>
      <c r="L86" s="383">
        <f>SUM(L87:L88)</f>
        <v>200.565</v>
      </c>
      <c r="M86" s="912"/>
    </row>
    <row r="87" spans="1:13" ht="12.75">
      <c r="A87" s="366" t="s">
        <v>114</v>
      </c>
      <c r="B87" s="373">
        <v>925</v>
      </c>
      <c r="C87" s="373">
        <v>103</v>
      </c>
      <c r="D87" s="373" t="s">
        <v>1079</v>
      </c>
      <c r="E87" s="373">
        <v>500</v>
      </c>
      <c r="F87" s="379">
        <v>121</v>
      </c>
      <c r="G87" s="379">
        <v>211</v>
      </c>
      <c r="H87" s="390">
        <f>SUM(I87:L87)</f>
        <v>628.0169999999999</v>
      </c>
      <c r="I87" s="384">
        <f>171.807-5.921-9.642</f>
        <v>156.244</v>
      </c>
      <c r="J87" s="2341">
        <f>171.806-17.763+9.642</f>
        <v>163.685</v>
      </c>
      <c r="K87" s="384">
        <f>171.806-17.762</f>
        <v>154.044</v>
      </c>
      <c r="L87" s="390">
        <f>171.806-17.762</f>
        <v>154.044</v>
      </c>
      <c r="M87" s="912"/>
    </row>
    <row r="88" spans="1:13" ht="13.5" customHeight="1">
      <c r="A88" s="366" t="s">
        <v>349</v>
      </c>
      <c r="B88" s="373">
        <v>925</v>
      </c>
      <c r="C88" s="373">
        <v>103</v>
      </c>
      <c r="D88" s="373" t="s">
        <v>1079</v>
      </c>
      <c r="E88" s="373">
        <v>500</v>
      </c>
      <c r="F88" s="379">
        <v>121</v>
      </c>
      <c r="G88" s="379">
        <v>213</v>
      </c>
      <c r="H88" s="390">
        <f>SUM(I88:L88)</f>
        <v>189.661</v>
      </c>
      <c r="I88" s="390">
        <f>51.886-1.788-5.328</f>
        <v>44.77</v>
      </c>
      <c r="J88" s="653">
        <f>51.885-5.364+5.328</f>
        <v>51.849000000000004</v>
      </c>
      <c r="K88" s="390">
        <f>51.886-5.365</f>
        <v>46.521</v>
      </c>
      <c r="L88" s="390">
        <f>51.885-5.364</f>
        <v>46.521</v>
      </c>
      <c r="M88" s="912"/>
    </row>
    <row r="89" spans="1:13" ht="13.5" customHeight="1">
      <c r="A89" s="385" t="s">
        <v>1186</v>
      </c>
      <c r="B89" s="724">
        <v>925</v>
      </c>
      <c r="C89" s="724">
        <v>103</v>
      </c>
      <c r="D89" s="724" t="s">
        <v>1079</v>
      </c>
      <c r="E89" s="724">
        <v>500</v>
      </c>
      <c r="F89" s="1950">
        <v>200</v>
      </c>
      <c r="G89" s="1950"/>
      <c r="H89" s="2343">
        <f>SUM(I89:L89)</f>
        <v>1214.6490000000001</v>
      </c>
      <c r="I89" s="2343">
        <f>I90</f>
        <v>389.99</v>
      </c>
      <c r="J89" s="2343">
        <f>J90</f>
        <v>777.9090000000001</v>
      </c>
      <c r="K89" s="2343">
        <f>K90</f>
        <v>23.375</v>
      </c>
      <c r="L89" s="2343">
        <f>L90</f>
        <v>23.375</v>
      </c>
      <c r="M89" s="912"/>
    </row>
    <row r="90" spans="1:13" ht="13.5" customHeight="1">
      <c r="A90" s="1161" t="s">
        <v>1063</v>
      </c>
      <c r="B90" s="1168">
        <v>925</v>
      </c>
      <c r="C90" s="1168">
        <v>103</v>
      </c>
      <c r="D90" s="1168" t="s">
        <v>1079</v>
      </c>
      <c r="E90" s="1168">
        <v>500</v>
      </c>
      <c r="F90" s="1162">
        <v>244</v>
      </c>
      <c r="G90" s="1162"/>
      <c r="H90" s="2344">
        <f>H91+H96</f>
        <v>1214.6490000000001</v>
      </c>
      <c r="I90" s="2344">
        <f>I91+I96</f>
        <v>389.99</v>
      </c>
      <c r="J90" s="2344">
        <f>J91+J96</f>
        <v>777.9090000000001</v>
      </c>
      <c r="K90" s="2344">
        <f>K91+K96</f>
        <v>23.375</v>
      </c>
      <c r="L90" s="2344">
        <f>L91+L96</f>
        <v>23.375</v>
      </c>
      <c r="M90" s="912"/>
    </row>
    <row r="91" spans="1:13" ht="13.5" customHeight="1">
      <c r="A91" s="363" t="s">
        <v>350</v>
      </c>
      <c r="B91" s="1166">
        <v>925</v>
      </c>
      <c r="C91" s="1166">
        <v>103</v>
      </c>
      <c r="D91" s="127" t="s">
        <v>1079</v>
      </c>
      <c r="E91" s="1166">
        <v>500</v>
      </c>
      <c r="F91" s="1167">
        <v>244</v>
      </c>
      <c r="G91" s="1167">
        <v>200</v>
      </c>
      <c r="H91" s="2345">
        <f>H92</f>
        <v>523.5</v>
      </c>
      <c r="I91" s="2345">
        <f>I92</f>
        <v>389.99</v>
      </c>
      <c r="J91" s="2346">
        <f>J92</f>
        <v>86.76</v>
      </c>
      <c r="K91" s="2345">
        <f>K92</f>
        <v>23.375</v>
      </c>
      <c r="L91" s="2345">
        <f>L92</f>
        <v>23.375</v>
      </c>
      <c r="M91" s="912"/>
    </row>
    <row r="92" spans="1:13" ht="13.5" customHeight="1">
      <c r="A92" s="365" t="s">
        <v>351</v>
      </c>
      <c r="B92" s="372">
        <v>925</v>
      </c>
      <c r="C92" s="372">
        <v>103</v>
      </c>
      <c r="D92" s="372" t="s">
        <v>1079</v>
      </c>
      <c r="E92" s="372">
        <v>500</v>
      </c>
      <c r="F92" s="378">
        <v>244</v>
      </c>
      <c r="G92" s="378">
        <v>220</v>
      </c>
      <c r="H92" s="846">
        <f>SUM(I92:L92)</f>
        <v>523.5</v>
      </c>
      <c r="I92" s="846">
        <f>I93+I94+I95</f>
        <v>389.99</v>
      </c>
      <c r="J92" s="846">
        <f>J93+J94+J95</f>
        <v>86.76</v>
      </c>
      <c r="K92" s="846">
        <f>K93+K94+K95</f>
        <v>23.375</v>
      </c>
      <c r="L92" s="846">
        <f>L93+L94+L95</f>
        <v>23.375</v>
      </c>
      <c r="M92" s="912"/>
    </row>
    <row r="93" spans="1:13" ht="13.5" customHeight="1">
      <c r="A93" s="366" t="s">
        <v>121</v>
      </c>
      <c r="B93" s="373">
        <v>925</v>
      </c>
      <c r="C93" s="373">
        <v>103</v>
      </c>
      <c r="D93" s="373" t="s">
        <v>1079</v>
      </c>
      <c r="E93" s="373">
        <v>500</v>
      </c>
      <c r="F93" s="379">
        <v>244</v>
      </c>
      <c r="G93" s="379">
        <v>223</v>
      </c>
      <c r="H93" s="1683">
        <f>SUM(I93:L93)</f>
        <v>85.82</v>
      </c>
      <c r="I93" s="1684">
        <f>21.455-11.262</f>
        <v>10.192999999999998</v>
      </c>
      <c r="J93" s="1684">
        <f>21.455+11.262</f>
        <v>32.717</v>
      </c>
      <c r="K93" s="1683">
        <v>21.455</v>
      </c>
      <c r="L93" s="1683">
        <v>21.455</v>
      </c>
      <c r="M93" s="912"/>
    </row>
    <row r="94" spans="1:13" ht="13.5" customHeight="1">
      <c r="A94" s="366" t="s">
        <v>352</v>
      </c>
      <c r="B94" s="373">
        <v>925</v>
      </c>
      <c r="C94" s="373">
        <v>103</v>
      </c>
      <c r="D94" s="373" t="s">
        <v>1079</v>
      </c>
      <c r="E94" s="373">
        <v>500</v>
      </c>
      <c r="F94" s="379">
        <v>244</v>
      </c>
      <c r="G94" s="379">
        <v>225</v>
      </c>
      <c r="H94" s="1683">
        <f>SUM(I94:L94)</f>
        <v>407.68000000000006</v>
      </c>
      <c r="I94" s="1684">
        <f>1.92+400-37.723</f>
        <v>364.197</v>
      </c>
      <c r="J94" s="1684">
        <f>1.92+37.723</f>
        <v>39.643</v>
      </c>
      <c r="K94" s="1683">
        <v>1.92</v>
      </c>
      <c r="L94" s="1683">
        <v>1.92</v>
      </c>
      <c r="M94" s="912"/>
    </row>
    <row r="95" spans="1:13" ht="13.5" customHeight="1">
      <c r="A95" s="366" t="s">
        <v>353</v>
      </c>
      <c r="B95" s="373">
        <v>925</v>
      </c>
      <c r="C95" s="373">
        <v>103</v>
      </c>
      <c r="D95" s="373" t="s">
        <v>1079</v>
      </c>
      <c r="E95" s="373">
        <v>500</v>
      </c>
      <c r="F95" s="379">
        <v>244</v>
      </c>
      <c r="G95" s="379">
        <v>226</v>
      </c>
      <c r="H95" s="540">
        <f aca="true" t="shared" si="9" ref="H95:H102">SUM(I95:L95)</f>
        <v>30</v>
      </c>
      <c r="I95" s="540">
        <f>15.6</f>
        <v>15.6</v>
      </c>
      <c r="J95" s="858">
        <f>30-15.6</f>
        <v>14.4</v>
      </c>
      <c r="K95" s="540">
        <v>0</v>
      </c>
      <c r="L95" s="540">
        <v>0</v>
      </c>
      <c r="M95" s="912"/>
    </row>
    <row r="96" spans="1:13" ht="13.5" customHeight="1">
      <c r="A96" s="363" t="s">
        <v>354</v>
      </c>
      <c r="B96" s="127">
        <v>925</v>
      </c>
      <c r="C96" s="127">
        <v>103</v>
      </c>
      <c r="D96" s="127" t="s">
        <v>1079</v>
      </c>
      <c r="E96" s="127">
        <v>500</v>
      </c>
      <c r="F96" s="652">
        <v>244</v>
      </c>
      <c r="G96" s="377">
        <v>300</v>
      </c>
      <c r="H96" s="635">
        <f t="shared" si="9"/>
        <v>691.1490000000001</v>
      </c>
      <c r="I96" s="855">
        <f>SUM(I97:I98)</f>
        <v>0</v>
      </c>
      <c r="J96" s="855">
        <f>SUM(J97:J98)</f>
        <v>691.1490000000001</v>
      </c>
      <c r="K96" s="635">
        <f>SUM(K97:K98)</f>
        <v>0</v>
      </c>
      <c r="L96" s="635">
        <f>SUM(L97:L98)</f>
        <v>0</v>
      </c>
      <c r="M96" s="912"/>
    </row>
    <row r="97" spans="1:13" ht="13.5" customHeight="1">
      <c r="A97" s="365" t="s">
        <v>260</v>
      </c>
      <c r="B97" s="372">
        <v>968</v>
      </c>
      <c r="C97" s="372">
        <v>103</v>
      </c>
      <c r="D97" s="372" t="s">
        <v>1079</v>
      </c>
      <c r="E97" s="372">
        <v>500</v>
      </c>
      <c r="F97" s="379">
        <v>244</v>
      </c>
      <c r="G97" s="379">
        <v>310</v>
      </c>
      <c r="H97" s="392">
        <f t="shared" si="9"/>
        <v>627.089</v>
      </c>
      <c r="I97" s="852">
        <f>550+77.089-627.089</f>
        <v>0</v>
      </c>
      <c r="J97" s="852">
        <f>627.089</f>
        <v>627.089</v>
      </c>
      <c r="K97" s="392">
        <v>0</v>
      </c>
      <c r="L97" s="392">
        <v>0</v>
      </c>
      <c r="M97" s="912"/>
    </row>
    <row r="98" spans="1:13" ht="13.5" customHeight="1">
      <c r="A98" s="365" t="s">
        <v>261</v>
      </c>
      <c r="B98" s="372">
        <v>925</v>
      </c>
      <c r="C98" s="372">
        <v>103</v>
      </c>
      <c r="D98" s="372" t="s">
        <v>1079</v>
      </c>
      <c r="E98" s="372">
        <v>500</v>
      </c>
      <c r="F98" s="379">
        <v>244</v>
      </c>
      <c r="G98" s="379">
        <v>340</v>
      </c>
      <c r="H98" s="392">
        <f t="shared" si="9"/>
        <v>64.06</v>
      </c>
      <c r="I98" s="852">
        <f>10-10</f>
        <v>0</v>
      </c>
      <c r="J98" s="852">
        <v>64.06</v>
      </c>
      <c r="K98" s="392">
        <v>0</v>
      </c>
      <c r="L98" s="392">
        <v>0</v>
      </c>
      <c r="M98" s="912"/>
    </row>
    <row r="99" spans="1:13" ht="13.5" customHeight="1">
      <c r="A99" s="385" t="s">
        <v>1189</v>
      </c>
      <c r="B99" s="724">
        <v>925</v>
      </c>
      <c r="C99" s="724">
        <v>103</v>
      </c>
      <c r="D99" s="724" t="s">
        <v>474</v>
      </c>
      <c r="E99" s="724">
        <v>500</v>
      </c>
      <c r="F99" s="1950">
        <v>800</v>
      </c>
      <c r="G99" s="1950"/>
      <c r="H99" s="394">
        <f t="shared" si="9"/>
        <v>3.199</v>
      </c>
      <c r="I99" s="854">
        <f aca="true" t="shared" si="10" ref="I99:L101">I100</f>
        <v>0</v>
      </c>
      <c r="J99" s="854">
        <f t="shared" si="10"/>
        <v>3.199</v>
      </c>
      <c r="K99" s="854">
        <f t="shared" si="10"/>
        <v>0</v>
      </c>
      <c r="L99" s="394">
        <f t="shared" si="10"/>
        <v>0</v>
      </c>
      <c r="M99" s="912"/>
    </row>
    <row r="100" spans="1:13" ht="13.5" customHeight="1">
      <c r="A100" s="1161" t="s">
        <v>1272</v>
      </c>
      <c r="B100" s="1168">
        <v>925</v>
      </c>
      <c r="C100" s="1168">
        <v>103</v>
      </c>
      <c r="D100" s="1168" t="s">
        <v>474</v>
      </c>
      <c r="E100" s="1168">
        <v>500</v>
      </c>
      <c r="F100" s="1162">
        <v>852</v>
      </c>
      <c r="G100" s="1957"/>
      <c r="H100" s="1669">
        <f t="shared" si="9"/>
        <v>3.199</v>
      </c>
      <c r="I100" s="1670">
        <f t="shared" si="10"/>
        <v>0</v>
      </c>
      <c r="J100" s="1670">
        <f t="shared" si="10"/>
        <v>3.199</v>
      </c>
      <c r="K100" s="1670">
        <f t="shared" si="10"/>
        <v>0</v>
      </c>
      <c r="L100" s="1669">
        <f t="shared" si="10"/>
        <v>0</v>
      </c>
      <c r="M100" s="912"/>
    </row>
    <row r="101" spans="1:13" ht="13.5" customHeight="1">
      <c r="A101" s="363" t="s">
        <v>350</v>
      </c>
      <c r="B101" s="127">
        <v>925</v>
      </c>
      <c r="C101" s="127">
        <v>103</v>
      </c>
      <c r="D101" s="127" t="s">
        <v>1079</v>
      </c>
      <c r="E101" s="127">
        <v>500</v>
      </c>
      <c r="F101" s="377">
        <v>852</v>
      </c>
      <c r="G101" s="377">
        <v>200</v>
      </c>
      <c r="H101" s="392">
        <f t="shared" si="9"/>
        <v>3.199</v>
      </c>
      <c r="I101" s="852">
        <f t="shared" si="10"/>
        <v>0</v>
      </c>
      <c r="J101" s="852">
        <f t="shared" si="10"/>
        <v>3.199</v>
      </c>
      <c r="K101" s="852">
        <f t="shared" si="10"/>
        <v>0</v>
      </c>
      <c r="L101" s="392">
        <f t="shared" si="10"/>
        <v>0</v>
      </c>
      <c r="M101" s="912"/>
    </row>
    <row r="102" spans="1:13" ht="13.5" customHeight="1" thickBot="1">
      <c r="A102" s="365" t="s">
        <v>259</v>
      </c>
      <c r="B102" s="372">
        <v>925</v>
      </c>
      <c r="C102" s="372">
        <v>103</v>
      </c>
      <c r="D102" s="372" t="s">
        <v>1079</v>
      </c>
      <c r="E102" s="372">
        <v>500</v>
      </c>
      <c r="F102" s="378">
        <v>852</v>
      </c>
      <c r="G102" s="378">
        <v>290</v>
      </c>
      <c r="H102" s="392">
        <f t="shared" si="9"/>
        <v>3.199</v>
      </c>
      <c r="I102" s="392">
        <f>3.199-3.199</f>
        <v>0</v>
      </c>
      <c r="J102" s="2340">
        <f>3.199</f>
        <v>3.199</v>
      </c>
      <c r="K102" s="392">
        <v>0</v>
      </c>
      <c r="L102" s="392">
        <v>0</v>
      </c>
      <c r="M102" s="912"/>
    </row>
    <row r="103" spans="1:13" ht="15" customHeight="1" hidden="1">
      <c r="A103" s="386" t="s">
        <v>421</v>
      </c>
      <c r="B103" s="371">
        <v>925</v>
      </c>
      <c r="C103" s="371">
        <v>113</v>
      </c>
      <c r="D103" s="371"/>
      <c r="E103" s="371"/>
      <c r="F103" s="376"/>
      <c r="G103" s="376"/>
      <c r="H103" s="2456">
        <f>SUM(I103:L103)</f>
        <v>0</v>
      </c>
      <c r="I103" s="2455">
        <f>I104</f>
        <v>0</v>
      </c>
      <c r="J103" s="2455">
        <f>J104</f>
        <v>0</v>
      </c>
      <c r="K103" s="2455">
        <f>K104</f>
        <v>0</v>
      </c>
      <c r="L103" s="2455">
        <f>L104</f>
        <v>0</v>
      </c>
      <c r="M103" s="912"/>
    </row>
    <row r="104" spans="1:13" ht="39" customHeight="1" hidden="1">
      <c r="A104" s="385" t="s">
        <v>1008</v>
      </c>
      <c r="B104" s="137">
        <v>925</v>
      </c>
      <c r="C104" s="137">
        <v>113</v>
      </c>
      <c r="D104" s="137" t="str">
        <f>D106</f>
        <v>092 05 00</v>
      </c>
      <c r="E104" s="137"/>
      <c r="F104" s="380"/>
      <c r="G104" s="380"/>
      <c r="H104" s="726">
        <f>H106</f>
        <v>0</v>
      </c>
      <c r="I104" s="853">
        <f aca="true" t="shared" si="11" ref="I104:L107">I105</f>
        <v>0</v>
      </c>
      <c r="J104" s="853">
        <f t="shared" si="11"/>
        <v>0</v>
      </c>
      <c r="K104" s="853">
        <f t="shared" si="11"/>
        <v>0</v>
      </c>
      <c r="L104" s="726">
        <f t="shared" si="11"/>
        <v>0</v>
      </c>
      <c r="M104" s="912"/>
    </row>
    <row r="105" spans="1:13" ht="13.5" customHeight="1" hidden="1">
      <c r="A105" s="385" t="s">
        <v>1189</v>
      </c>
      <c r="B105" s="1168">
        <v>925</v>
      </c>
      <c r="C105" s="1168">
        <v>113</v>
      </c>
      <c r="D105" s="1168" t="str">
        <f>D106</f>
        <v>092 05 00</v>
      </c>
      <c r="E105" s="1172">
        <v>13</v>
      </c>
      <c r="F105" s="1173">
        <v>800</v>
      </c>
      <c r="G105" s="380"/>
      <c r="H105" s="726">
        <f>SUM(I105:L105)</f>
        <v>0</v>
      </c>
      <c r="I105" s="853">
        <f t="shared" si="11"/>
        <v>0</v>
      </c>
      <c r="J105" s="853">
        <f t="shared" si="11"/>
        <v>0</v>
      </c>
      <c r="K105" s="853">
        <f t="shared" si="11"/>
        <v>0</v>
      </c>
      <c r="L105" s="726">
        <f t="shared" si="11"/>
        <v>0</v>
      </c>
      <c r="M105" s="912"/>
    </row>
    <row r="106" spans="1:13" ht="13.5" customHeight="1" hidden="1">
      <c r="A106" s="1161" t="s">
        <v>1282</v>
      </c>
      <c r="B106" s="1168">
        <v>925</v>
      </c>
      <c r="C106" s="1168">
        <v>113</v>
      </c>
      <c r="D106" s="1168" t="str">
        <f>D107</f>
        <v>092 05 00</v>
      </c>
      <c r="E106" s="1172">
        <v>13</v>
      </c>
      <c r="F106" s="1173">
        <v>853</v>
      </c>
      <c r="G106" s="1162"/>
      <c r="H106" s="1169">
        <f>H107</f>
        <v>0</v>
      </c>
      <c r="I106" s="1170">
        <f t="shared" si="11"/>
        <v>0</v>
      </c>
      <c r="J106" s="1170">
        <f t="shared" si="11"/>
        <v>0</v>
      </c>
      <c r="K106" s="1169">
        <f t="shared" si="11"/>
        <v>0</v>
      </c>
      <c r="L106" s="1169">
        <f t="shared" si="11"/>
        <v>0</v>
      </c>
      <c r="M106" s="912"/>
    </row>
    <row r="107" spans="1:13" ht="13.5" customHeight="1" hidden="1">
      <c r="A107" s="363" t="s">
        <v>350</v>
      </c>
      <c r="B107" s="127">
        <v>925</v>
      </c>
      <c r="C107" s="127">
        <v>113</v>
      </c>
      <c r="D107" s="127" t="str">
        <f>D108</f>
        <v>092 05 00</v>
      </c>
      <c r="E107" s="856">
        <v>13</v>
      </c>
      <c r="F107" s="1155">
        <v>853</v>
      </c>
      <c r="G107" s="377">
        <v>200</v>
      </c>
      <c r="H107" s="1685">
        <f>H108</f>
        <v>0</v>
      </c>
      <c r="I107" s="1686">
        <f t="shared" si="11"/>
        <v>0</v>
      </c>
      <c r="J107" s="1686">
        <f t="shared" si="11"/>
        <v>0</v>
      </c>
      <c r="K107" s="1685">
        <f t="shared" si="11"/>
        <v>0</v>
      </c>
      <c r="L107" s="1685">
        <f t="shared" si="11"/>
        <v>0</v>
      </c>
      <c r="M107" s="912"/>
    </row>
    <row r="108" spans="1:13" ht="13.5" customHeight="1" hidden="1" thickBot="1">
      <c r="A108" s="365" t="s">
        <v>259</v>
      </c>
      <c r="B108" s="372">
        <v>925</v>
      </c>
      <c r="C108" s="372">
        <v>113</v>
      </c>
      <c r="D108" s="127" t="s">
        <v>469</v>
      </c>
      <c r="E108" s="857">
        <v>13</v>
      </c>
      <c r="F108" s="1156">
        <v>853</v>
      </c>
      <c r="G108" s="378">
        <v>290</v>
      </c>
      <c r="H108" s="2425">
        <f>SUM(I108:L108)</f>
        <v>0</v>
      </c>
      <c r="I108" s="2424">
        <v>0</v>
      </c>
      <c r="J108" s="2424">
        <v>0</v>
      </c>
      <c r="K108" s="2425">
        <v>0</v>
      </c>
      <c r="L108" s="2425">
        <v>0</v>
      </c>
      <c r="M108" s="912"/>
    </row>
    <row r="109" spans="1:13" ht="24" customHeight="1" thickBot="1">
      <c r="A109" s="758" t="s">
        <v>325</v>
      </c>
      <c r="B109" s="879"/>
      <c r="C109" s="879"/>
      <c r="D109" s="879"/>
      <c r="E109" s="879"/>
      <c r="F109" s="879"/>
      <c r="G109" s="1644"/>
      <c r="H109" s="1647">
        <f>H57</f>
        <v>4378</v>
      </c>
      <c r="I109" s="1647">
        <f>I57</f>
        <v>1193.9920000000002</v>
      </c>
      <c r="J109" s="1648">
        <f>J57</f>
        <v>1589.786</v>
      </c>
      <c r="K109" s="1647">
        <f>K57</f>
        <v>822.0050000000001</v>
      </c>
      <c r="L109" s="1647">
        <f>L57</f>
        <v>772.2170000000001</v>
      </c>
      <c r="M109" s="912"/>
    </row>
    <row r="110" spans="1:13" ht="24" customHeight="1">
      <c r="A110" t="s">
        <v>358</v>
      </c>
      <c r="I110" s="2983" t="s">
        <v>1284</v>
      </c>
      <c r="J110" s="2983"/>
      <c r="K110" s="2983"/>
      <c r="L110" s="878"/>
      <c r="M110" s="912"/>
    </row>
    <row r="111" spans="1:13" ht="24" customHeight="1">
      <c r="A111" s="2980" t="s">
        <v>359</v>
      </c>
      <c r="B111" s="2980"/>
      <c r="I111" s="2910" t="s">
        <v>1259</v>
      </c>
      <c r="J111" s="2910"/>
      <c r="K111" s="2910"/>
      <c r="M111" s="912"/>
    </row>
    <row r="112" spans="1:13" ht="13.5" customHeight="1">
      <c r="A112" s="880"/>
      <c r="B112" s="877"/>
      <c r="C112" s="877"/>
      <c r="D112" s="877"/>
      <c r="E112" s="877"/>
      <c r="F112" s="877"/>
      <c r="G112" s="877"/>
      <c r="H112" s="878"/>
      <c r="I112" s="878"/>
      <c r="J112" s="878"/>
      <c r="K112" s="878"/>
      <c r="L112" s="878"/>
      <c r="M112" s="912"/>
    </row>
    <row r="113" spans="1:12" ht="13.5" customHeight="1">
      <c r="A113" s="880"/>
      <c r="B113" s="877"/>
      <c r="C113" s="877"/>
      <c r="D113" s="877"/>
      <c r="E113" s="877"/>
      <c r="F113" s="877"/>
      <c r="G113" s="877"/>
      <c r="H113" s="878"/>
      <c r="I113" s="878"/>
      <c r="J113" s="878"/>
      <c r="K113" s="878"/>
      <c r="L113" s="878"/>
    </row>
    <row r="114" spans="1:12" ht="13.5" customHeight="1">
      <c r="A114" s="880"/>
      <c r="B114" s="877"/>
      <c r="C114" s="877"/>
      <c r="D114" s="2911" t="s">
        <v>1264</v>
      </c>
      <c r="E114" s="2911"/>
      <c r="F114" s="2911"/>
      <c r="G114" s="2911"/>
      <c r="H114" s="2911"/>
      <c r="I114" s="2911"/>
      <c r="J114" s="2911"/>
      <c r="K114" s="2911"/>
      <c r="L114" s="2911"/>
    </row>
    <row r="115" spans="1:12" ht="13.5" customHeight="1">
      <c r="A115" s="880"/>
      <c r="B115" s="877"/>
      <c r="C115" s="877"/>
      <c r="D115" s="2911" t="s">
        <v>1355</v>
      </c>
      <c r="E115" s="2911"/>
      <c r="F115" s="2911"/>
      <c r="G115" s="2911"/>
      <c r="H115" s="2911"/>
      <c r="I115" s="2911"/>
      <c r="J115" s="2911"/>
      <c r="K115" s="2911"/>
      <c r="L115" s="2911"/>
    </row>
    <row r="116" spans="1:12" ht="13.5" customHeight="1">
      <c r="A116" s="880"/>
      <c r="B116" s="877"/>
      <c r="C116" s="877"/>
      <c r="D116" s="2911" t="s">
        <v>1359</v>
      </c>
      <c r="E116" s="2911"/>
      <c r="F116" s="2911"/>
      <c r="G116" s="2911"/>
      <c r="H116" s="2911"/>
      <c r="I116" s="2911"/>
      <c r="J116" s="2911"/>
      <c r="K116" s="2911"/>
      <c r="L116" s="2911"/>
    </row>
    <row r="117" spans="1:12" ht="13.5" customHeight="1">
      <c r="A117" s="880"/>
      <c r="B117" s="877"/>
      <c r="C117" s="877"/>
      <c r="D117" s="2911" t="s">
        <v>1376</v>
      </c>
      <c r="E117" s="2911"/>
      <c r="F117" s="2911"/>
      <c r="G117" s="2911"/>
      <c r="H117" s="2911"/>
      <c r="I117" s="2911"/>
      <c r="J117" s="2911"/>
      <c r="K117" s="2911"/>
      <c r="L117" s="2911"/>
    </row>
    <row r="118" spans="1:12" ht="13.5" customHeight="1">
      <c r="A118" s="880"/>
      <c r="B118" s="877"/>
      <c r="C118" s="877"/>
      <c r="D118" s="2911" t="s">
        <v>1377</v>
      </c>
      <c r="E118" s="2911"/>
      <c r="F118" s="2911"/>
      <c r="G118" s="2911"/>
      <c r="H118" s="2911"/>
      <c r="I118" s="2911"/>
      <c r="J118" s="2911"/>
      <c r="K118" s="2911"/>
      <c r="L118" s="2911"/>
    </row>
    <row r="119" spans="1:12" ht="13.5" customHeight="1">
      <c r="A119" s="880"/>
      <c r="B119" s="877"/>
      <c r="C119" s="877"/>
      <c r="D119" s="2911" t="s">
        <v>1386</v>
      </c>
      <c r="E119" s="2911"/>
      <c r="F119" s="2911"/>
      <c r="G119" s="2911"/>
      <c r="H119" s="2911"/>
      <c r="I119" s="2911"/>
      <c r="J119" s="2911"/>
      <c r="K119" s="2911"/>
      <c r="L119" s="2911"/>
    </row>
    <row r="120" spans="1:12" ht="13.5" customHeight="1">
      <c r="A120" s="880"/>
      <c r="B120" s="877"/>
      <c r="C120" s="877"/>
      <c r="D120" s="2911" t="s">
        <v>1387</v>
      </c>
      <c r="E120" s="2911"/>
      <c r="F120" s="2911"/>
      <c r="G120" s="2911"/>
      <c r="H120" s="2911"/>
      <c r="I120" s="2911"/>
      <c r="J120" s="2911"/>
      <c r="K120" s="2911"/>
      <c r="L120" s="2911"/>
    </row>
    <row r="121" spans="1:12" ht="13.5" customHeight="1">
      <c r="A121" s="880"/>
      <c r="B121" s="877"/>
      <c r="C121" s="877"/>
      <c r="D121" s="2911" t="s">
        <v>1399</v>
      </c>
      <c r="E121" s="2911"/>
      <c r="F121" s="2911"/>
      <c r="G121" s="2911"/>
      <c r="H121" s="2911"/>
      <c r="I121" s="2911"/>
      <c r="J121" s="2911"/>
      <c r="K121" s="2911"/>
      <c r="L121" s="2911"/>
    </row>
    <row r="122" spans="1:12" ht="13.5" customHeight="1" hidden="1">
      <c r="A122" s="880"/>
      <c r="B122" s="877"/>
      <c r="C122" s="877"/>
      <c r="D122" s="2911"/>
      <c r="E122" s="2911"/>
      <c r="F122" s="2911"/>
      <c r="G122" s="2911"/>
      <c r="H122" s="2911"/>
      <c r="I122" s="2911"/>
      <c r="J122" s="2911"/>
      <c r="K122" s="2911"/>
      <c r="L122" s="2911"/>
    </row>
    <row r="123" spans="1:12" ht="13.5" customHeight="1" hidden="1">
      <c r="A123" s="880"/>
      <c r="B123" s="877"/>
      <c r="C123" s="877"/>
      <c r="D123" s="2911"/>
      <c r="E123" s="2911"/>
      <c r="F123" s="2911"/>
      <c r="G123" s="2911"/>
      <c r="H123" s="2911"/>
      <c r="I123" s="2911"/>
      <c r="J123" s="2911"/>
      <c r="K123" s="2911"/>
      <c r="L123" s="2911"/>
    </row>
    <row r="124" spans="1:12" ht="13.5" customHeight="1" hidden="1">
      <c r="A124" s="880"/>
      <c r="B124" s="877"/>
      <c r="C124" s="877"/>
      <c r="D124" s="2911"/>
      <c r="E124" s="2911"/>
      <c r="F124" s="2911"/>
      <c r="G124" s="2911"/>
      <c r="H124" s="2911"/>
      <c r="I124" s="2911"/>
      <c r="J124" s="2911"/>
      <c r="K124" s="2911"/>
      <c r="L124" s="2911"/>
    </row>
    <row r="125" spans="1:12" ht="13.5" customHeight="1" hidden="1">
      <c r="A125" s="880"/>
      <c r="B125" s="877"/>
      <c r="C125" s="877"/>
      <c r="D125" s="2911"/>
      <c r="E125" s="2911"/>
      <c r="F125" s="2911"/>
      <c r="G125" s="2911"/>
      <c r="H125" s="2911"/>
      <c r="I125" s="2911"/>
      <c r="J125" s="2911"/>
      <c r="K125" s="2911"/>
      <c r="L125" s="2911"/>
    </row>
    <row r="126" spans="1:12" ht="13.5" customHeight="1" hidden="1">
      <c r="A126" s="880"/>
      <c r="B126" s="877"/>
      <c r="C126" s="877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3" ht="13.5" customHeight="1" hidden="1">
      <c r="A127" s="880"/>
      <c r="B127" s="877"/>
      <c r="C127" s="877"/>
    </row>
    <row r="128" spans="1:12" ht="13.5" customHeight="1" hidden="1">
      <c r="A128" s="880"/>
      <c r="B128" s="877"/>
      <c r="C128" s="877"/>
      <c r="D128" s="2911"/>
      <c r="E128" s="2911"/>
      <c r="F128" s="2911"/>
      <c r="G128" s="2911"/>
      <c r="H128" s="2911"/>
      <c r="I128" s="2911"/>
      <c r="J128" s="2911"/>
      <c r="K128" s="2911"/>
      <c r="L128" s="2911"/>
    </row>
    <row r="129" spans="1:12" ht="13.5" customHeight="1" hidden="1">
      <c r="A129" s="880"/>
      <c r="B129" s="877"/>
      <c r="C129" s="877"/>
      <c r="D129" s="2911"/>
      <c r="E129" s="2911"/>
      <c r="F129" s="2911"/>
      <c r="G129" s="2911"/>
      <c r="H129" s="2911"/>
      <c r="I129" s="2911"/>
      <c r="J129" s="2911"/>
      <c r="K129" s="2911"/>
      <c r="L129" s="2911"/>
    </row>
    <row r="130" spans="1:12" ht="13.5" customHeight="1" hidden="1">
      <c r="A130" s="880"/>
      <c r="B130" s="877"/>
      <c r="C130" s="877"/>
      <c r="D130" s="2911"/>
      <c r="E130" s="2911"/>
      <c r="F130" s="2911"/>
      <c r="G130" s="2911"/>
      <c r="H130" s="2911"/>
      <c r="I130" s="2911"/>
      <c r="J130" s="2911"/>
      <c r="K130" s="2911"/>
      <c r="L130" s="2911"/>
    </row>
    <row r="131" spans="1:12" ht="13.5" customHeight="1" hidden="1">
      <c r="A131" s="880"/>
      <c r="B131" s="877"/>
      <c r="C131" s="877"/>
      <c r="D131" s="2911"/>
      <c r="E131" s="2911"/>
      <c r="F131" s="2911"/>
      <c r="G131" s="2911"/>
      <c r="H131" s="2911"/>
      <c r="I131" s="2911"/>
      <c r="J131" s="2911"/>
      <c r="K131" s="2911"/>
      <c r="L131" s="2911"/>
    </row>
    <row r="132" spans="1:12" ht="13.5" customHeight="1" hidden="1">
      <c r="A132" s="880"/>
      <c r="B132" s="877"/>
      <c r="C132" s="877"/>
      <c r="D132" s="2911"/>
      <c r="E132" s="2911"/>
      <c r="F132" s="2911"/>
      <c r="G132" s="2911"/>
      <c r="H132" s="2911"/>
      <c r="I132" s="2911"/>
      <c r="J132" s="2911"/>
      <c r="K132" s="2911"/>
      <c r="L132" s="2911"/>
    </row>
    <row r="133" spans="1:12" ht="13.5" customHeight="1">
      <c r="A133" s="2978" t="s">
        <v>94</v>
      </c>
      <c r="B133" s="2978"/>
      <c r="C133" s="2978"/>
      <c r="D133" s="2978"/>
      <c r="E133" s="2978"/>
      <c r="F133" s="2978"/>
      <c r="G133" s="2978"/>
      <c r="H133" s="2978"/>
      <c r="I133" s="2978"/>
      <c r="J133" s="2978"/>
      <c r="K133" s="2978"/>
      <c r="L133" s="2978"/>
    </row>
    <row r="134" spans="1:12" ht="13.5" customHeight="1" thickBot="1">
      <c r="A134" s="2978" t="s">
        <v>1400</v>
      </c>
      <c r="B134" s="2978"/>
      <c r="C134" s="2978"/>
      <c r="D134" s="2978"/>
      <c r="E134" s="2978"/>
      <c r="F134" s="2978"/>
      <c r="G134" s="2978"/>
      <c r="H134" s="2978"/>
      <c r="I134" s="2978"/>
      <c r="J134" s="2978"/>
      <c r="K134" s="2978"/>
      <c r="L134" s="2978"/>
    </row>
    <row r="135" spans="1:12" ht="13.5" customHeight="1" hidden="1">
      <c r="A135" s="880"/>
      <c r="B135" s="877"/>
      <c r="C135" s="877"/>
      <c r="D135" s="2981" t="s">
        <v>1147</v>
      </c>
      <c r="E135" s="2982"/>
      <c r="F135" s="2982"/>
      <c r="G135" s="2982"/>
      <c r="H135" s="2982"/>
      <c r="I135" s="2982"/>
      <c r="J135" s="2982"/>
      <c r="K135" s="2982"/>
      <c r="L135" s="2982"/>
    </row>
    <row r="136" spans="1:12" ht="13.5" customHeight="1" hidden="1">
      <c r="A136" s="880"/>
      <c r="B136" s="877"/>
      <c r="C136" s="877"/>
      <c r="D136" s="2981" t="s">
        <v>1270</v>
      </c>
      <c r="E136" s="2982"/>
      <c r="F136" s="2982"/>
      <c r="G136" s="2982"/>
      <c r="H136" s="2982"/>
      <c r="I136" s="2982"/>
      <c r="J136" s="2982"/>
      <c r="K136" s="2982"/>
      <c r="L136" s="2982"/>
    </row>
    <row r="137" spans="1:12" ht="13.5" customHeight="1" hidden="1">
      <c r="A137" s="880"/>
      <c r="B137" s="877"/>
      <c r="C137" s="877"/>
      <c r="D137" s="2981" t="s">
        <v>1273</v>
      </c>
      <c r="E137" s="2982"/>
      <c r="F137" s="2982"/>
      <c r="G137" s="2982"/>
      <c r="H137" s="2982"/>
      <c r="I137" s="2982"/>
      <c r="J137" s="2982"/>
      <c r="K137" s="2982"/>
      <c r="L137" s="2982"/>
    </row>
    <row r="138" spans="1:12" ht="13.5" customHeight="1" hidden="1">
      <c r="A138" s="880"/>
      <c r="B138" s="877"/>
      <c r="C138" s="877"/>
      <c r="D138" s="2981" t="s">
        <v>1275</v>
      </c>
      <c r="E138" s="2982"/>
      <c r="F138" s="2982"/>
      <c r="G138" s="2982"/>
      <c r="H138" s="2982"/>
      <c r="I138" s="2982"/>
      <c r="J138" s="2982"/>
      <c r="K138" s="2982"/>
      <c r="L138" s="2982"/>
    </row>
    <row r="139" spans="1:12" ht="13.5" customHeight="1" hidden="1">
      <c r="A139" s="880"/>
      <c r="B139" s="877"/>
      <c r="C139" s="877"/>
      <c r="D139" s="2981"/>
      <c r="E139" s="2982"/>
      <c r="F139" s="2982"/>
      <c r="G139" s="2982"/>
      <c r="H139" s="2982"/>
      <c r="I139" s="2982"/>
      <c r="J139" s="2982"/>
      <c r="K139" s="2982"/>
      <c r="L139" s="2982"/>
    </row>
    <row r="140" spans="1:12" ht="13.5" customHeight="1" hidden="1">
      <c r="A140" s="880"/>
      <c r="B140" s="877"/>
      <c r="C140" s="877"/>
      <c r="D140" s="2981"/>
      <c r="E140" s="2982"/>
      <c r="F140" s="2982"/>
      <c r="G140" s="2982"/>
      <c r="H140" s="2982"/>
      <c r="I140" s="2982"/>
      <c r="J140" s="2982"/>
      <c r="K140" s="2982"/>
      <c r="L140" s="2982"/>
    </row>
    <row r="141" spans="1:12" ht="13.5" customHeight="1" hidden="1">
      <c r="A141" s="880"/>
      <c r="B141" s="877"/>
      <c r="C141" s="877"/>
      <c r="D141" s="2981"/>
      <c r="E141" s="2982"/>
      <c r="F141" s="2982"/>
      <c r="G141" s="2982"/>
      <c r="H141" s="2982"/>
      <c r="I141" s="2982"/>
      <c r="J141" s="2982"/>
      <c r="K141" s="2982"/>
      <c r="L141" s="2982"/>
    </row>
    <row r="142" spans="1:12" ht="13.5" customHeight="1" hidden="1">
      <c r="A142" s="880"/>
      <c r="B142" s="877"/>
      <c r="C142" s="877"/>
      <c r="D142" s="2981"/>
      <c r="E142" s="2982"/>
      <c r="F142" s="2982"/>
      <c r="G142" s="2982"/>
      <c r="H142" s="2982"/>
      <c r="I142" s="2982"/>
      <c r="J142" s="2982"/>
      <c r="K142" s="2982"/>
      <c r="L142" s="2982"/>
    </row>
    <row r="143" spans="1:12" ht="13.5" customHeight="1" hidden="1">
      <c r="A143" s="880"/>
      <c r="B143" s="877"/>
      <c r="C143" s="877"/>
      <c r="D143" s="2981"/>
      <c r="E143" s="2982"/>
      <c r="F143" s="2982"/>
      <c r="G143" s="2982"/>
      <c r="H143" s="2982"/>
      <c r="I143" s="2982"/>
      <c r="J143" s="2982"/>
      <c r="K143" s="2982"/>
      <c r="L143" s="2982"/>
    </row>
    <row r="144" spans="1:12" ht="13.5" customHeight="1" hidden="1">
      <c r="A144" s="880"/>
      <c r="B144" s="877"/>
      <c r="C144" s="877"/>
      <c r="D144" s="2981"/>
      <c r="E144" s="2982"/>
      <c r="F144" s="2982"/>
      <c r="G144" s="2982"/>
      <c r="H144" s="2982"/>
      <c r="I144" s="2982"/>
      <c r="J144" s="2982"/>
      <c r="K144" s="2982"/>
      <c r="L144" s="2982"/>
    </row>
    <row r="145" spans="1:12" ht="13.5" customHeight="1" hidden="1" thickBot="1">
      <c r="A145" s="2984" t="s">
        <v>253</v>
      </c>
      <c r="B145" s="2984"/>
      <c r="C145" s="2984"/>
      <c r="D145" s="2984"/>
      <c r="E145" s="2984"/>
      <c r="F145" s="2984"/>
      <c r="G145" s="2984"/>
      <c r="H145" s="2984"/>
      <c r="I145" s="2984"/>
      <c r="J145" s="2984"/>
      <c r="K145" s="2984"/>
      <c r="L145" s="2984"/>
    </row>
    <row r="146" spans="1:12" ht="56.25" customHeight="1" thickBot="1">
      <c r="A146" s="367" t="s">
        <v>254</v>
      </c>
      <c r="B146" s="368" t="s">
        <v>443</v>
      </c>
      <c r="C146" s="368" t="s">
        <v>267</v>
      </c>
      <c r="D146" s="368" t="s">
        <v>265</v>
      </c>
      <c r="E146" s="368" t="s">
        <v>110</v>
      </c>
      <c r="F146" s="368" t="s">
        <v>110</v>
      </c>
      <c r="G146" s="374" t="s">
        <v>346</v>
      </c>
      <c r="H146" s="381" t="s">
        <v>303</v>
      </c>
      <c r="I146" s="381" t="s">
        <v>807</v>
      </c>
      <c r="J146" s="536" t="s">
        <v>808</v>
      </c>
      <c r="K146" s="381" t="s">
        <v>793</v>
      </c>
      <c r="L146" s="381" t="s">
        <v>794</v>
      </c>
    </row>
    <row r="147" spans="1:12" ht="13.5" customHeight="1" thickBot="1">
      <c r="A147" s="369">
        <v>1</v>
      </c>
      <c r="B147" s="370">
        <v>2</v>
      </c>
      <c r="C147" s="370">
        <v>3</v>
      </c>
      <c r="D147" s="370">
        <v>4</v>
      </c>
      <c r="E147" s="370">
        <v>5</v>
      </c>
      <c r="F147" s="375"/>
      <c r="G147" s="375">
        <v>6</v>
      </c>
      <c r="H147" s="382">
        <v>7</v>
      </c>
      <c r="I147" s="382">
        <v>8</v>
      </c>
      <c r="J147" s="537">
        <v>9</v>
      </c>
      <c r="K147" s="382">
        <v>10</v>
      </c>
      <c r="L147" s="382">
        <v>11</v>
      </c>
    </row>
    <row r="148" spans="1:13" ht="21.75" customHeight="1" thickBot="1">
      <c r="A148" s="866" t="s">
        <v>457</v>
      </c>
      <c r="B148" s="657">
        <v>968</v>
      </c>
      <c r="C148" s="657"/>
      <c r="D148" s="657"/>
      <c r="E148" s="657"/>
      <c r="F148" s="658"/>
      <c r="G148" s="658"/>
      <c r="H148" s="669">
        <f>SUM(I148:L148)</f>
        <v>120621.99999999999</v>
      </c>
      <c r="I148" s="669">
        <f>I149+I279+I308+I326+I433+I439+I505++I527+I574+I588</f>
        <v>16697.756</v>
      </c>
      <c r="J148" s="669">
        <f>J149+J279+J308+J326+J433+J439+J505++J527+J574+J588</f>
        <v>28421.349</v>
      </c>
      <c r="K148" s="669">
        <f>K149+K279+K308+K326+K433+K439+K505+K527+K574+K588</f>
        <v>59617.873999999996</v>
      </c>
      <c r="L148" s="669">
        <f>L149+L279+L308+L326+L433+L439+L505++L527+L574+L588</f>
        <v>15885.020999999999</v>
      </c>
      <c r="M148" s="912"/>
    </row>
    <row r="149" spans="1:13" ht="16.5" customHeight="1" thickBot="1">
      <c r="A149" s="644" t="s">
        <v>111</v>
      </c>
      <c r="B149" s="645">
        <v>968</v>
      </c>
      <c r="C149" s="645">
        <v>100</v>
      </c>
      <c r="D149" s="645"/>
      <c r="E149" s="645"/>
      <c r="F149" s="646"/>
      <c r="G149" s="646"/>
      <c r="H149" s="647">
        <f>SUM(I149:L149)</f>
        <v>29139.894999999997</v>
      </c>
      <c r="I149" s="647">
        <f>I150+I220+I226</f>
        <v>6018.304999999999</v>
      </c>
      <c r="J149" s="647">
        <f>J150+J220+J226</f>
        <v>8744.662</v>
      </c>
      <c r="K149" s="718">
        <f>K150+K220+K226</f>
        <v>6830.563</v>
      </c>
      <c r="L149" s="647">
        <f>L150+L220+L226</f>
        <v>7546.364999999999</v>
      </c>
      <c r="M149" s="912"/>
    </row>
    <row r="150" spans="1:13" ht="46.5" customHeight="1">
      <c r="A150" s="386" t="s">
        <v>1198</v>
      </c>
      <c r="B150" s="371">
        <v>968</v>
      </c>
      <c r="C150" s="371">
        <v>104</v>
      </c>
      <c r="D150" s="371"/>
      <c r="E150" s="371"/>
      <c r="F150" s="376"/>
      <c r="G150" s="376"/>
      <c r="H150" s="393">
        <f>SUM(I150:L150)</f>
        <v>26584.389</v>
      </c>
      <c r="I150" s="717">
        <f>I151+I157</f>
        <v>5978.325</v>
      </c>
      <c r="J150" s="717">
        <f>J151+J157</f>
        <v>8003.660000000001</v>
      </c>
      <c r="K150" s="717">
        <f>K151+K157</f>
        <v>6594.753</v>
      </c>
      <c r="L150" s="393">
        <f>L151+L157</f>
        <v>6007.650999999999</v>
      </c>
      <c r="M150" s="912"/>
    </row>
    <row r="151" spans="1:13" ht="15" customHeight="1">
      <c r="A151" s="362" t="s">
        <v>96</v>
      </c>
      <c r="B151" s="137">
        <v>968</v>
      </c>
      <c r="C151" s="137">
        <v>104</v>
      </c>
      <c r="D151" s="137" t="s">
        <v>476</v>
      </c>
      <c r="E151" s="137"/>
      <c r="F151" s="380"/>
      <c r="G151" s="380"/>
      <c r="H151" s="1723">
        <f>H153</f>
        <v>1117.234</v>
      </c>
      <c r="I151" s="1724">
        <f aca="true" t="shared" si="12" ref="I151:L153">I152</f>
        <v>287.876</v>
      </c>
      <c r="J151" s="1724">
        <f t="shared" si="12"/>
        <v>290.28999999999996</v>
      </c>
      <c r="K151" s="1724">
        <f t="shared" si="12"/>
        <v>289.08299999999997</v>
      </c>
      <c r="L151" s="1723">
        <f t="shared" si="12"/>
        <v>249.98499999999999</v>
      </c>
      <c r="M151" s="912"/>
    </row>
    <row r="152" spans="1:13" ht="39" customHeight="1">
      <c r="A152" s="1949" t="s">
        <v>1188</v>
      </c>
      <c r="B152" s="724">
        <v>968</v>
      </c>
      <c r="C152" s="724">
        <v>104</v>
      </c>
      <c r="D152" s="724" t="s">
        <v>476</v>
      </c>
      <c r="E152" s="724"/>
      <c r="F152" s="1950">
        <v>100</v>
      </c>
      <c r="G152" s="1950"/>
      <c r="H152" s="1958">
        <f>SUM(I152:L152)</f>
        <v>1117.234</v>
      </c>
      <c r="I152" s="1959">
        <f t="shared" si="12"/>
        <v>287.876</v>
      </c>
      <c r="J152" s="1959">
        <f t="shared" si="12"/>
        <v>290.28999999999996</v>
      </c>
      <c r="K152" s="1959">
        <f t="shared" si="12"/>
        <v>289.08299999999997</v>
      </c>
      <c r="L152" s="1958">
        <f t="shared" si="12"/>
        <v>249.98499999999999</v>
      </c>
      <c r="M152" s="912"/>
    </row>
    <row r="153" spans="1:13" ht="15" customHeight="1">
      <c r="A153" s="1161" t="s">
        <v>1077</v>
      </c>
      <c r="B153" s="1168">
        <v>968</v>
      </c>
      <c r="C153" s="1168">
        <v>104</v>
      </c>
      <c r="D153" s="1168" t="s">
        <v>476</v>
      </c>
      <c r="E153" s="1168">
        <v>500</v>
      </c>
      <c r="F153" s="1162">
        <v>121</v>
      </c>
      <c r="G153" s="1162"/>
      <c r="H153" s="1960">
        <f>H154</f>
        <v>1117.234</v>
      </c>
      <c r="I153" s="1961">
        <f t="shared" si="12"/>
        <v>287.876</v>
      </c>
      <c r="J153" s="1170">
        <f t="shared" si="12"/>
        <v>290.28999999999996</v>
      </c>
      <c r="K153" s="1169">
        <f t="shared" si="12"/>
        <v>289.08299999999997</v>
      </c>
      <c r="L153" s="1169">
        <f t="shared" si="12"/>
        <v>249.98499999999999</v>
      </c>
      <c r="M153" s="912"/>
    </row>
    <row r="154" spans="1:13" ht="12.75" customHeight="1">
      <c r="A154" s="365" t="s">
        <v>347</v>
      </c>
      <c r="B154" s="372">
        <v>968</v>
      </c>
      <c r="C154" s="372">
        <v>104</v>
      </c>
      <c r="D154" s="372" t="s">
        <v>355</v>
      </c>
      <c r="E154" s="372">
        <v>500</v>
      </c>
      <c r="F154" s="378">
        <v>121</v>
      </c>
      <c r="G154" s="378">
        <v>210</v>
      </c>
      <c r="H154" s="383">
        <f>SUM(H155:H156)</f>
        <v>1117.234</v>
      </c>
      <c r="I154" s="851">
        <f>SUM(I155:I156)</f>
        <v>287.876</v>
      </c>
      <c r="J154" s="851">
        <f>SUM(J155:J156)</f>
        <v>290.28999999999996</v>
      </c>
      <c r="K154" s="383">
        <f>SUM(K155:K156)</f>
        <v>289.08299999999997</v>
      </c>
      <c r="L154" s="383">
        <f>SUM(L155:L156)</f>
        <v>249.98499999999999</v>
      </c>
      <c r="M154" s="912"/>
    </row>
    <row r="155" spans="1:13" ht="15" customHeight="1">
      <c r="A155" s="366" t="s">
        <v>114</v>
      </c>
      <c r="B155" s="373">
        <v>968</v>
      </c>
      <c r="C155" s="373">
        <v>104</v>
      </c>
      <c r="D155" s="373" t="s">
        <v>355</v>
      </c>
      <c r="E155" s="373">
        <v>500</v>
      </c>
      <c r="F155" s="379">
        <v>121</v>
      </c>
      <c r="G155" s="379">
        <v>211</v>
      </c>
      <c r="H155" s="390">
        <f>SUM(I155:L155)</f>
        <v>888.125</v>
      </c>
      <c r="I155" s="2625">
        <v>222.03</v>
      </c>
      <c r="J155" s="2625">
        <v>222.03</v>
      </c>
      <c r="K155" s="390">
        <v>222.03</v>
      </c>
      <c r="L155" s="384">
        <v>222.035</v>
      </c>
      <c r="M155" s="912"/>
    </row>
    <row r="156" spans="1:13" ht="15" customHeight="1">
      <c r="A156" s="366" t="s">
        <v>349</v>
      </c>
      <c r="B156" s="373">
        <v>968</v>
      </c>
      <c r="C156" s="373">
        <v>104</v>
      </c>
      <c r="D156" s="373" t="s">
        <v>355</v>
      </c>
      <c r="E156" s="373">
        <v>500</v>
      </c>
      <c r="F156" s="379">
        <v>121</v>
      </c>
      <c r="G156" s="379">
        <v>213</v>
      </c>
      <c r="H156" s="384">
        <f>SUM(I156:L156)</f>
        <v>229.10899999999998</v>
      </c>
      <c r="I156" s="2465">
        <f>67.053-1.207</f>
        <v>65.846</v>
      </c>
      <c r="J156" s="2465">
        <f>67.053+1.207</f>
        <v>68.25999999999999</v>
      </c>
      <c r="K156" s="384">
        <v>67.053</v>
      </c>
      <c r="L156" s="384">
        <v>27.95</v>
      </c>
      <c r="M156" s="912"/>
    </row>
    <row r="157" spans="1:13" ht="12.75">
      <c r="A157" s="728" t="s">
        <v>1004</v>
      </c>
      <c r="B157" s="137">
        <v>968</v>
      </c>
      <c r="C157" s="137">
        <v>104</v>
      </c>
      <c r="D157" s="137"/>
      <c r="E157" s="373"/>
      <c r="F157" s="379"/>
      <c r="G157" s="379"/>
      <c r="H157" s="726">
        <f>SUM(I157:L157)</f>
        <v>25467.155</v>
      </c>
      <c r="I157" s="853">
        <f>I158+I208</f>
        <v>5690.449</v>
      </c>
      <c r="J157" s="853">
        <f>J158+J208</f>
        <v>7713.370000000001</v>
      </c>
      <c r="K157" s="853">
        <f>K158+K208</f>
        <v>6305.67</v>
      </c>
      <c r="L157" s="726">
        <f>L158+L208</f>
        <v>5757.665999999999</v>
      </c>
      <c r="M157" s="912"/>
    </row>
    <row r="158" spans="1:14" ht="27.75" customHeight="1">
      <c r="A158" s="362" t="s">
        <v>65</v>
      </c>
      <c r="B158" s="137">
        <v>968</v>
      </c>
      <c r="C158" s="137">
        <v>104</v>
      </c>
      <c r="D158" s="137" t="s">
        <v>63</v>
      </c>
      <c r="E158" s="137"/>
      <c r="F158" s="380"/>
      <c r="G158" s="380"/>
      <c r="H158" s="726">
        <f>SUM(I158:L158)</f>
        <v>25461.555</v>
      </c>
      <c r="I158" s="726">
        <f>I159+I165+I201+I187</f>
        <v>5690.449</v>
      </c>
      <c r="J158" s="726">
        <f>J159+J165+J201+J187</f>
        <v>7707.77</v>
      </c>
      <c r="K158" s="726">
        <f>K159+K165+K201+K187</f>
        <v>6305.67</v>
      </c>
      <c r="L158" s="726">
        <f>L159+L165+L201+L187</f>
        <v>5757.665999999999</v>
      </c>
      <c r="M158" s="912"/>
      <c r="N158" s="912"/>
    </row>
    <row r="159" spans="1:14" ht="42.75" customHeight="1">
      <c r="A159" s="1949" t="s">
        <v>1188</v>
      </c>
      <c r="B159" s="724">
        <v>968</v>
      </c>
      <c r="C159" s="724">
        <v>104</v>
      </c>
      <c r="D159" s="724" t="s">
        <v>63</v>
      </c>
      <c r="E159" s="724"/>
      <c r="F159" s="1950">
        <v>100</v>
      </c>
      <c r="G159" s="1950"/>
      <c r="H159" s="715">
        <f>SUM(I159:L159)</f>
        <v>19630.689</v>
      </c>
      <c r="I159" s="715">
        <f>I160</f>
        <v>4449.576</v>
      </c>
      <c r="J159" s="715">
        <f>J160</f>
        <v>5376.593</v>
      </c>
      <c r="K159" s="715">
        <f>K160</f>
        <v>4913.085</v>
      </c>
      <c r="L159" s="715">
        <f>L160</f>
        <v>4891.4349999999995</v>
      </c>
      <c r="M159" s="912"/>
      <c r="N159" s="912"/>
    </row>
    <row r="160" spans="1:14" ht="12.75">
      <c r="A160" s="1161" t="s">
        <v>1077</v>
      </c>
      <c r="B160" s="1168">
        <v>968</v>
      </c>
      <c r="C160" s="1168">
        <v>104</v>
      </c>
      <c r="D160" s="1168" t="s">
        <v>63</v>
      </c>
      <c r="E160" s="1168">
        <v>500</v>
      </c>
      <c r="F160" s="1162">
        <v>121</v>
      </c>
      <c r="G160" s="1162"/>
      <c r="H160" s="1169">
        <f aca="true" t="shared" si="13" ref="H160:L161">H161</f>
        <v>19630.689</v>
      </c>
      <c r="I160" s="1169">
        <f t="shared" si="13"/>
        <v>4449.576</v>
      </c>
      <c r="J160" s="1169">
        <f t="shared" si="13"/>
        <v>5376.593</v>
      </c>
      <c r="K160" s="1169">
        <f t="shared" si="13"/>
        <v>4913.085</v>
      </c>
      <c r="L160" s="1169">
        <f t="shared" si="13"/>
        <v>4891.4349999999995</v>
      </c>
      <c r="M160" s="912"/>
      <c r="N160" s="912"/>
    </row>
    <row r="161" spans="1:14" ht="12.75">
      <c r="A161" s="363" t="s">
        <v>350</v>
      </c>
      <c r="B161" s="127">
        <v>968</v>
      </c>
      <c r="C161" s="127">
        <v>104</v>
      </c>
      <c r="D161" s="127" t="s">
        <v>70</v>
      </c>
      <c r="E161" s="127">
        <v>500</v>
      </c>
      <c r="F161" s="377">
        <v>121</v>
      </c>
      <c r="G161" s="377">
        <v>200</v>
      </c>
      <c r="H161" s="1685">
        <f t="shared" si="13"/>
        <v>19630.689</v>
      </c>
      <c r="I161" s="1685">
        <f t="shared" si="13"/>
        <v>4449.576</v>
      </c>
      <c r="J161" s="1685">
        <f t="shared" si="13"/>
        <v>5376.593</v>
      </c>
      <c r="K161" s="1685">
        <f t="shared" si="13"/>
        <v>4913.085</v>
      </c>
      <c r="L161" s="1685">
        <f t="shared" si="13"/>
        <v>4891.4349999999995</v>
      </c>
      <c r="M161" s="912"/>
      <c r="N161" s="1148"/>
    </row>
    <row r="162" spans="1:14" ht="12.75">
      <c r="A162" s="365" t="s">
        <v>347</v>
      </c>
      <c r="B162" s="372">
        <v>968</v>
      </c>
      <c r="C162" s="372">
        <v>104</v>
      </c>
      <c r="D162" s="372" t="s">
        <v>70</v>
      </c>
      <c r="E162" s="372">
        <v>500</v>
      </c>
      <c r="F162" s="378">
        <v>121</v>
      </c>
      <c r="G162" s="378">
        <v>210</v>
      </c>
      <c r="H162" s="2446">
        <f>SUM(H163:H164)</f>
        <v>19630.689</v>
      </c>
      <c r="I162" s="2445">
        <f>SUM(I163:I164)</f>
        <v>4449.576</v>
      </c>
      <c r="J162" s="2445">
        <f>SUM(J163:J164)</f>
        <v>5376.593</v>
      </c>
      <c r="K162" s="2446">
        <f>SUM(K163:K164)</f>
        <v>4913.085</v>
      </c>
      <c r="L162" s="2446">
        <f>SUM(L163:L164)</f>
        <v>4891.4349999999995</v>
      </c>
      <c r="M162" s="912"/>
      <c r="N162" s="912"/>
    </row>
    <row r="163" spans="1:14" ht="12.75">
      <c r="A163" s="366" t="s">
        <v>114</v>
      </c>
      <c r="B163" s="373">
        <v>968</v>
      </c>
      <c r="C163" s="373">
        <v>104</v>
      </c>
      <c r="D163" s="373" t="s">
        <v>70</v>
      </c>
      <c r="E163" s="373">
        <v>500</v>
      </c>
      <c r="F163" s="379">
        <v>121</v>
      </c>
      <c r="G163" s="379">
        <v>211</v>
      </c>
      <c r="H163" s="1683">
        <f aca="true" t="shared" si="14" ref="H163:H177">SUM(I163:L163)</f>
        <v>15093.957999999999</v>
      </c>
      <c r="I163" s="1684">
        <f>3773.49-363.116</f>
        <v>3410.374</v>
      </c>
      <c r="J163" s="1684">
        <f>3773.489+363.116</f>
        <v>4136.605</v>
      </c>
      <c r="K163" s="2449">
        <v>3773.49</v>
      </c>
      <c r="L163" s="2449">
        <v>3773.489</v>
      </c>
      <c r="M163" s="912"/>
      <c r="N163" s="912"/>
    </row>
    <row r="164" spans="1:14" ht="12.75">
      <c r="A164" s="366" t="s">
        <v>349</v>
      </c>
      <c r="B164" s="373">
        <v>968</v>
      </c>
      <c r="C164" s="373">
        <v>104</v>
      </c>
      <c r="D164" s="373" t="s">
        <v>70</v>
      </c>
      <c r="E164" s="373">
        <v>500</v>
      </c>
      <c r="F164" s="379">
        <v>121</v>
      </c>
      <c r="G164" s="379">
        <v>213</v>
      </c>
      <c r="H164" s="1683">
        <f t="shared" si="14"/>
        <v>4536.731</v>
      </c>
      <c r="I164" s="2448">
        <f>1139.595-100.393</f>
        <v>1039.202</v>
      </c>
      <c r="J164" s="2448">
        <f>1139.595+100.393</f>
        <v>1239.988</v>
      </c>
      <c r="K164" s="2449">
        <v>1139.595</v>
      </c>
      <c r="L164" s="2449">
        <v>1117.946</v>
      </c>
      <c r="M164" s="912"/>
      <c r="N164" s="912"/>
    </row>
    <row r="165" spans="1:14" ht="17.25" customHeight="1">
      <c r="A165" s="385" t="s">
        <v>1186</v>
      </c>
      <c r="B165" s="724">
        <v>968</v>
      </c>
      <c r="C165" s="724">
        <v>104</v>
      </c>
      <c r="D165" s="724" t="s">
        <v>63</v>
      </c>
      <c r="E165" s="724">
        <v>500</v>
      </c>
      <c r="F165" s="1950">
        <v>200</v>
      </c>
      <c r="G165" s="1950"/>
      <c r="H165" s="715">
        <f t="shared" si="14"/>
        <v>5743.199</v>
      </c>
      <c r="I165" s="715">
        <f>I166+I175</f>
        <v>1183.806</v>
      </c>
      <c r="J165" s="715">
        <f>J166+J175</f>
        <v>2316.177</v>
      </c>
      <c r="K165" s="715">
        <f>K166+K175</f>
        <v>1381.985</v>
      </c>
      <c r="L165" s="715">
        <f>L166+L175</f>
        <v>861.231</v>
      </c>
      <c r="M165" s="912"/>
      <c r="N165" s="912"/>
    </row>
    <row r="166" spans="1:14" ht="24">
      <c r="A166" s="1161" t="s">
        <v>1080</v>
      </c>
      <c r="B166" s="1168">
        <v>968</v>
      </c>
      <c r="C166" s="1168">
        <v>104</v>
      </c>
      <c r="D166" s="1168" t="s">
        <v>63</v>
      </c>
      <c r="E166" s="1168"/>
      <c r="F166" s="1162">
        <v>242</v>
      </c>
      <c r="G166" s="1162"/>
      <c r="H166" s="1169">
        <f t="shared" si="14"/>
        <v>2929.254</v>
      </c>
      <c r="I166" s="1169">
        <f>I167+I172</f>
        <v>481.332</v>
      </c>
      <c r="J166" s="1169">
        <f>J167+J172</f>
        <v>1257.4180000000001</v>
      </c>
      <c r="K166" s="1169">
        <f>K167+K172</f>
        <v>855.6289999999999</v>
      </c>
      <c r="L166" s="1169">
        <f>L167+L172</f>
        <v>334.875</v>
      </c>
      <c r="M166" s="912"/>
      <c r="N166" s="912"/>
    </row>
    <row r="167" spans="1:14" ht="12.75">
      <c r="A167" s="363" t="s">
        <v>350</v>
      </c>
      <c r="B167" s="127">
        <v>968</v>
      </c>
      <c r="C167" s="127">
        <v>104</v>
      </c>
      <c r="D167" s="127" t="s">
        <v>70</v>
      </c>
      <c r="E167" s="127">
        <v>500</v>
      </c>
      <c r="F167" s="377">
        <v>242</v>
      </c>
      <c r="G167" s="377">
        <v>200</v>
      </c>
      <c r="H167" s="2358">
        <f t="shared" si="14"/>
        <v>1799.254</v>
      </c>
      <c r="I167" s="2358">
        <f>I168</f>
        <v>289.666</v>
      </c>
      <c r="J167" s="2358">
        <f>J168</f>
        <v>719.0840000000001</v>
      </c>
      <c r="K167" s="2358">
        <f>K168</f>
        <v>455.62899999999996</v>
      </c>
      <c r="L167" s="2358">
        <f>L168</f>
        <v>334.875</v>
      </c>
      <c r="M167" s="912"/>
      <c r="N167" s="912"/>
    </row>
    <row r="168" spans="1:14" ht="12.75">
      <c r="A168" s="365" t="s">
        <v>351</v>
      </c>
      <c r="B168" s="372">
        <v>968</v>
      </c>
      <c r="C168" s="372">
        <v>104</v>
      </c>
      <c r="D168" s="372" t="s">
        <v>70</v>
      </c>
      <c r="E168" s="372">
        <v>500</v>
      </c>
      <c r="F168" s="378">
        <v>242</v>
      </c>
      <c r="G168" s="378">
        <v>220</v>
      </c>
      <c r="H168" s="2425">
        <f t="shared" si="14"/>
        <v>1799.254</v>
      </c>
      <c r="I168" s="2424">
        <f>SUM(I169:I171)</f>
        <v>289.666</v>
      </c>
      <c r="J168" s="2424">
        <f>SUM(J169:J171)</f>
        <v>719.0840000000001</v>
      </c>
      <c r="K168" s="2424">
        <f>SUM(K169:K171)</f>
        <v>455.62899999999996</v>
      </c>
      <c r="L168" s="2424">
        <f>SUM(L169:L171)</f>
        <v>334.875</v>
      </c>
      <c r="M168" s="912"/>
      <c r="N168" s="912"/>
    </row>
    <row r="169" spans="1:14" ht="12.75">
      <c r="A169" s="366" t="s">
        <v>119</v>
      </c>
      <c r="B169" s="373">
        <v>968</v>
      </c>
      <c r="C169" s="373">
        <v>104</v>
      </c>
      <c r="D169" s="373" t="s">
        <v>70</v>
      </c>
      <c r="E169" s="373">
        <v>500</v>
      </c>
      <c r="F169" s="379">
        <v>242</v>
      </c>
      <c r="G169" s="379">
        <v>221</v>
      </c>
      <c r="H169" s="1683">
        <f t="shared" si="14"/>
        <v>338.69599999999997</v>
      </c>
      <c r="I169" s="1684">
        <f>84.681-0.007-67.278</f>
        <v>17.395999999999987</v>
      </c>
      <c r="J169" s="1684">
        <f>84.681-0.007+67.278</f>
        <v>151.952</v>
      </c>
      <c r="K169" s="1684">
        <f>84.681-0.007</f>
        <v>84.67399999999999</v>
      </c>
      <c r="L169" s="1683">
        <f>84.681-0.007</f>
        <v>84.67399999999999</v>
      </c>
      <c r="M169" s="912"/>
      <c r="N169" s="912"/>
    </row>
    <row r="170" spans="1:14" ht="12.75">
      <c r="A170" s="366" t="s">
        <v>352</v>
      </c>
      <c r="B170" s="373">
        <v>968</v>
      </c>
      <c r="C170" s="373">
        <v>104</v>
      </c>
      <c r="D170" s="373" t="s">
        <v>70</v>
      </c>
      <c r="E170" s="373">
        <v>500</v>
      </c>
      <c r="F170" s="379">
        <v>242</v>
      </c>
      <c r="G170" s="379">
        <v>225</v>
      </c>
      <c r="H170" s="1683">
        <f t="shared" si="14"/>
        <v>278.03999999999996</v>
      </c>
      <c r="I170" s="1684">
        <f>102.786-39.836</f>
        <v>62.95</v>
      </c>
      <c r="J170" s="1684">
        <f>102.786-26.716</f>
        <v>76.07</v>
      </c>
      <c r="K170" s="1683">
        <f>102.786-33.276</f>
        <v>69.50999999999999</v>
      </c>
      <c r="L170" s="1683">
        <f>102.786-33.276</f>
        <v>69.50999999999999</v>
      </c>
      <c r="M170" s="912"/>
      <c r="N170" s="912"/>
    </row>
    <row r="171" spans="1:14" ht="12.75">
      <c r="A171" s="366" t="s">
        <v>353</v>
      </c>
      <c r="B171" s="373">
        <v>968</v>
      </c>
      <c r="C171" s="373">
        <v>104</v>
      </c>
      <c r="D171" s="373" t="s">
        <v>70</v>
      </c>
      <c r="E171" s="373">
        <v>500</v>
      </c>
      <c r="F171" s="379">
        <v>242</v>
      </c>
      <c r="G171" s="379">
        <v>226</v>
      </c>
      <c r="H171" s="1683">
        <f t="shared" si="14"/>
        <v>1182.518</v>
      </c>
      <c r="I171" s="2466">
        <f>482.657-273.337</f>
        <v>209.32</v>
      </c>
      <c r="J171" s="2466">
        <f>200.657+290.405</f>
        <v>491.062</v>
      </c>
      <c r="K171" s="2466">
        <f>284.787-0.376+17.034</f>
        <v>301.445</v>
      </c>
      <c r="L171" s="2466">
        <f>163.657+17.034</f>
        <v>180.691</v>
      </c>
      <c r="M171" s="912"/>
      <c r="N171" s="912"/>
    </row>
    <row r="172" spans="1:14" ht="12.75">
      <c r="A172" s="363" t="s">
        <v>354</v>
      </c>
      <c r="B172" s="127">
        <v>968</v>
      </c>
      <c r="C172" s="127">
        <v>104</v>
      </c>
      <c r="D172" s="127" t="s">
        <v>70</v>
      </c>
      <c r="E172" s="127">
        <v>500</v>
      </c>
      <c r="F172" s="652">
        <v>242</v>
      </c>
      <c r="G172" s="377">
        <v>300</v>
      </c>
      <c r="H172" s="1685">
        <f t="shared" si="14"/>
        <v>1130</v>
      </c>
      <c r="I172" s="1686">
        <f>SUM(I173:I174)</f>
        <v>191.666</v>
      </c>
      <c r="J172" s="1686">
        <f>SUM(J173:J174)</f>
        <v>538.3340000000001</v>
      </c>
      <c r="K172" s="1686">
        <f>SUM(K173:K174)</f>
        <v>400</v>
      </c>
      <c r="L172" s="1685">
        <f>SUM(L173:L174)</f>
        <v>0</v>
      </c>
      <c r="M172" s="912"/>
      <c r="N172" s="912"/>
    </row>
    <row r="173" spans="1:14" ht="12.75">
      <c r="A173" s="365" t="s">
        <v>260</v>
      </c>
      <c r="B173" s="372">
        <v>968</v>
      </c>
      <c r="C173" s="372">
        <v>104</v>
      </c>
      <c r="D173" s="372" t="s">
        <v>70</v>
      </c>
      <c r="E173" s="372">
        <v>500</v>
      </c>
      <c r="F173" s="379">
        <v>242</v>
      </c>
      <c r="G173" s="379">
        <v>310</v>
      </c>
      <c r="H173" s="1683">
        <f t="shared" si="14"/>
        <v>300</v>
      </c>
      <c r="I173" s="1684">
        <f>250-250</f>
        <v>0</v>
      </c>
      <c r="J173" s="1684">
        <f>50+250</f>
        <v>300</v>
      </c>
      <c r="K173" s="1683">
        <v>0</v>
      </c>
      <c r="L173" s="1683">
        <v>0</v>
      </c>
      <c r="M173" s="912"/>
      <c r="N173" s="912"/>
    </row>
    <row r="174" spans="1:14" ht="12.75">
      <c r="A174" s="365" t="s">
        <v>261</v>
      </c>
      <c r="B174" s="372">
        <v>968</v>
      </c>
      <c r="C174" s="372">
        <v>104</v>
      </c>
      <c r="D174" s="372" t="s">
        <v>70</v>
      </c>
      <c r="E174" s="372">
        <v>500</v>
      </c>
      <c r="F174" s="379">
        <v>242</v>
      </c>
      <c r="G174" s="379">
        <v>340</v>
      </c>
      <c r="H174" s="1683">
        <f t="shared" si="14"/>
        <v>830</v>
      </c>
      <c r="I174" s="1684">
        <f>430-238.334</f>
        <v>191.666</v>
      </c>
      <c r="J174" s="1684">
        <f>0+238.334</f>
        <v>238.334</v>
      </c>
      <c r="K174" s="1683">
        <v>400</v>
      </c>
      <c r="L174" s="1683">
        <v>0</v>
      </c>
      <c r="M174" s="912"/>
      <c r="N174" s="912"/>
    </row>
    <row r="175" spans="1:14" ht="12.75">
      <c r="A175" s="1161" t="s">
        <v>1063</v>
      </c>
      <c r="B175" s="1168">
        <v>968</v>
      </c>
      <c r="C175" s="1168">
        <v>104</v>
      </c>
      <c r="D175" s="1168" t="s">
        <v>63</v>
      </c>
      <c r="E175" s="1168"/>
      <c r="F175" s="1162">
        <v>244</v>
      </c>
      <c r="G175" s="1171"/>
      <c r="H175" s="2441">
        <f t="shared" si="14"/>
        <v>2813.9449999999997</v>
      </c>
      <c r="I175" s="2467">
        <f>I176+I184</f>
        <v>702.4739999999999</v>
      </c>
      <c r="J175" s="2467">
        <f>J176+J184</f>
        <v>1058.759</v>
      </c>
      <c r="K175" s="2467">
        <f>K176+K184</f>
        <v>526.356</v>
      </c>
      <c r="L175" s="2441">
        <f>L176+L184</f>
        <v>526.356</v>
      </c>
      <c r="M175" s="912"/>
      <c r="N175" s="912"/>
    </row>
    <row r="176" spans="1:14" ht="12.75">
      <c r="A176" s="363" t="s">
        <v>350</v>
      </c>
      <c r="B176" s="127">
        <v>968</v>
      </c>
      <c r="C176" s="127">
        <v>104</v>
      </c>
      <c r="D176" s="127" t="s">
        <v>70</v>
      </c>
      <c r="E176" s="127">
        <v>500</v>
      </c>
      <c r="F176" s="377">
        <v>244</v>
      </c>
      <c r="G176" s="377">
        <v>200</v>
      </c>
      <c r="H176" s="2358">
        <f t="shared" si="14"/>
        <v>2433.312</v>
      </c>
      <c r="I176" s="2358">
        <f>I177</f>
        <v>571.904</v>
      </c>
      <c r="J176" s="2358">
        <f>J177</f>
        <v>811.24</v>
      </c>
      <c r="K176" s="2358">
        <f>K177</f>
        <v>525.084</v>
      </c>
      <c r="L176" s="2358">
        <f>L177</f>
        <v>525.084</v>
      </c>
      <c r="M176" s="912"/>
      <c r="N176" s="912"/>
    </row>
    <row r="177" spans="1:14" ht="12.75">
      <c r="A177" s="365" t="s">
        <v>351</v>
      </c>
      <c r="B177" s="372">
        <v>968</v>
      </c>
      <c r="C177" s="372">
        <v>104</v>
      </c>
      <c r="D177" s="372" t="s">
        <v>70</v>
      </c>
      <c r="E177" s="372">
        <v>500</v>
      </c>
      <c r="F177" s="378">
        <v>244</v>
      </c>
      <c r="G177" s="378">
        <v>220</v>
      </c>
      <c r="H177" s="2425">
        <f t="shared" si="14"/>
        <v>2433.312</v>
      </c>
      <c r="I177" s="2424">
        <f>SUM(I178:I183)</f>
        <v>571.904</v>
      </c>
      <c r="J177" s="2424">
        <f>SUM(J178:J183)</f>
        <v>811.24</v>
      </c>
      <c r="K177" s="2424">
        <f>SUM(K178:K183)</f>
        <v>525.084</v>
      </c>
      <c r="L177" s="2425">
        <f>SUM(L178:L183)</f>
        <v>525.084</v>
      </c>
      <c r="M177" s="912"/>
      <c r="N177" s="912"/>
    </row>
    <row r="178" spans="1:14" ht="12.75">
      <c r="A178" s="366" t="s">
        <v>119</v>
      </c>
      <c r="B178" s="373">
        <v>968</v>
      </c>
      <c r="C178" s="373">
        <v>104</v>
      </c>
      <c r="D178" s="373" t="s">
        <v>70</v>
      </c>
      <c r="E178" s="373">
        <v>500</v>
      </c>
      <c r="F178" s="379">
        <v>244</v>
      </c>
      <c r="G178" s="379">
        <v>221</v>
      </c>
      <c r="H178" s="1683">
        <f aca="true" t="shared" si="15" ref="H178:H189">SUM(I178:L178)</f>
        <v>31.2</v>
      </c>
      <c r="I178" s="1684">
        <f>7.8-7.8</f>
        <v>0</v>
      </c>
      <c r="J178" s="1684">
        <f>7.8+7.8</f>
        <v>15.6</v>
      </c>
      <c r="K178" s="1684">
        <v>7.8</v>
      </c>
      <c r="L178" s="1683">
        <v>7.8</v>
      </c>
      <c r="M178" s="912"/>
      <c r="N178" s="912"/>
    </row>
    <row r="179" spans="1:14" ht="12.75">
      <c r="A179" s="366" t="s">
        <v>120</v>
      </c>
      <c r="B179" s="373">
        <v>968</v>
      </c>
      <c r="C179" s="373">
        <v>104</v>
      </c>
      <c r="D179" s="373" t="s">
        <v>70</v>
      </c>
      <c r="E179" s="373">
        <v>500</v>
      </c>
      <c r="F179" s="379">
        <v>244</v>
      </c>
      <c r="G179" s="379">
        <v>222</v>
      </c>
      <c r="H179" s="1683">
        <f t="shared" si="15"/>
        <v>129.78</v>
      </c>
      <c r="I179" s="1684">
        <f>32.445-11.025</f>
        <v>21.42</v>
      </c>
      <c r="J179" s="1684">
        <f>32.445+11.025</f>
        <v>43.47</v>
      </c>
      <c r="K179" s="1683">
        <v>32.445</v>
      </c>
      <c r="L179" s="1683">
        <v>32.445</v>
      </c>
      <c r="M179" s="912"/>
      <c r="N179" s="912"/>
    </row>
    <row r="180" spans="1:15" ht="12.75">
      <c r="A180" s="366" t="s">
        <v>121</v>
      </c>
      <c r="B180" s="373">
        <v>968</v>
      </c>
      <c r="C180" s="373">
        <v>104</v>
      </c>
      <c r="D180" s="373" t="s">
        <v>70</v>
      </c>
      <c r="E180" s="373">
        <v>500</v>
      </c>
      <c r="F180" s="379">
        <v>244</v>
      </c>
      <c r="G180" s="379">
        <v>223</v>
      </c>
      <c r="H180" s="1683">
        <f t="shared" si="15"/>
        <v>811.524</v>
      </c>
      <c r="I180" s="1684">
        <f>150.381+128.671</f>
        <v>279.052</v>
      </c>
      <c r="J180" s="1684">
        <f>150.381+81.329</f>
        <v>231.70999999999998</v>
      </c>
      <c r="K180" s="1683">
        <v>150.381</v>
      </c>
      <c r="L180" s="1683">
        <v>150.381</v>
      </c>
      <c r="M180" s="912"/>
      <c r="N180" s="912"/>
      <c r="O180" s="912"/>
    </row>
    <row r="181" spans="1:14" ht="12.75">
      <c r="A181" s="366" t="s">
        <v>122</v>
      </c>
      <c r="B181" s="373">
        <v>968</v>
      </c>
      <c r="C181" s="373">
        <v>104</v>
      </c>
      <c r="D181" s="373" t="s">
        <v>70</v>
      </c>
      <c r="E181" s="373">
        <v>500</v>
      </c>
      <c r="F181" s="379">
        <v>244</v>
      </c>
      <c r="G181" s="379">
        <v>224</v>
      </c>
      <c r="H181" s="1683">
        <f t="shared" si="15"/>
        <v>935.12</v>
      </c>
      <c r="I181" s="1684">
        <f>229.53-85.65</f>
        <v>143.88</v>
      </c>
      <c r="J181" s="1684">
        <f>229.53+90.65</f>
        <v>320.18</v>
      </c>
      <c r="K181" s="1683">
        <f>229.53+6</f>
        <v>235.53</v>
      </c>
      <c r="L181" s="1683">
        <f>229.53+6</f>
        <v>235.53</v>
      </c>
      <c r="M181" s="912"/>
      <c r="N181" s="912"/>
    </row>
    <row r="182" spans="1:14" ht="12.75">
      <c r="A182" s="366" t="s">
        <v>352</v>
      </c>
      <c r="B182" s="373">
        <v>968</v>
      </c>
      <c r="C182" s="373">
        <v>104</v>
      </c>
      <c r="D182" s="373" t="s">
        <v>70</v>
      </c>
      <c r="E182" s="373">
        <v>500</v>
      </c>
      <c r="F182" s="379">
        <v>244</v>
      </c>
      <c r="G182" s="379">
        <v>225</v>
      </c>
      <c r="H182" s="1683">
        <f t="shared" si="15"/>
        <v>223.848</v>
      </c>
      <c r="I182" s="1684">
        <f>22.686+23.492</f>
        <v>46.178</v>
      </c>
      <c r="J182" s="1684">
        <f>22.686+43.06</f>
        <v>65.74600000000001</v>
      </c>
      <c r="K182" s="1683">
        <f>22.686+33.276</f>
        <v>55.962</v>
      </c>
      <c r="L182" s="1683">
        <f>22.686+33.276</f>
        <v>55.962</v>
      </c>
      <c r="M182" s="912"/>
      <c r="N182" s="912"/>
    </row>
    <row r="183" spans="1:14" ht="12.75">
      <c r="A183" s="366" t="s">
        <v>353</v>
      </c>
      <c r="B183" s="373">
        <v>968</v>
      </c>
      <c r="C183" s="373">
        <v>104</v>
      </c>
      <c r="D183" s="373" t="s">
        <v>70</v>
      </c>
      <c r="E183" s="373">
        <v>500</v>
      </c>
      <c r="F183" s="379">
        <v>244</v>
      </c>
      <c r="G183" s="379">
        <v>226</v>
      </c>
      <c r="H183" s="1683">
        <f t="shared" si="15"/>
        <v>301.84</v>
      </c>
      <c r="I183" s="1684">
        <f>15+66.374</f>
        <v>81.374</v>
      </c>
      <c r="J183" s="1684">
        <f>144.976-10.442</f>
        <v>134.534</v>
      </c>
      <c r="K183" s="1683">
        <f>15+27.966</f>
        <v>42.966</v>
      </c>
      <c r="L183" s="1683">
        <f>15+27.966</f>
        <v>42.966</v>
      </c>
      <c r="M183" s="912"/>
      <c r="N183" s="912"/>
    </row>
    <row r="184" spans="1:14" ht="12.75">
      <c r="A184" s="363" t="s">
        <v>354</v>
      </c>
      <c r="B184" s="127">
        <v>968</v>
      </c>
      <c r="C184" s="127">
        <v>104</v>
      </c>
      <c r="D184" s="127" t="s">
        <v>70</v>
      </c>
      <c r="E184" s="127">
        <v>500</v>
      </c>
      <c r="F184" s="652">
        <v>244</v>
      </c>
      <c r="G184" s="377">
        <v>300</v>
      </c>
      <c r="H184" s="1685">
        <f t="shared" si="15"/>
        <v>380.6329999999999</v>
      </c>
      <c r="I184" s="1686">
        <f>SUM(I185:I186)</f>
        <v>130.57</v>
      </c>
      <c r="J184" s="1686">
        <f>SUM(J185:J186)</f>
        <v>247.51899999999998</v>
      </c>
      <c r="K184" s="1685">
        <f>SUM(K185:K186)</f>
        <v>1.272</v>
      </c>
      <c r="L184" s="1685">
        <f>SUM(L185:L186)</f>
        <v>1.272</v>
      </c>
      <c r="M184" s="912"/>
      <c r="N184" s="912"/>
    </row>
    <row r="185" spans="1:14" ht="12.75">
      <c r="A185" s="365" t="s">
        <v>260</v>
      </c>
      <c r="B185" s="372">
        <v>968</v>
      </c>
      <c r="C185" s="372">
        <v>104</v>
      </c>
      <c r="D185" s="372" t="s">
        <v>70</v>
      </c>
      <c r="E185" s="372">
        <v>500</v>
      </c>
      <c r="F185" s="379">
        <v>244</v>
      </c>
      <c r="G185" s="379">
        <v>310</v>
      </c>
      <c r="H185" s="1683">
        <f t="shared" si="15"/>
        <v>115.345</v>
      </c>
      <c r="I185" s="1684">
        <f>110-0.315</f>
        <v>109.685</v>
      </c>
      <c r="J185" s="1684">
        <f>50-50+5.66</f>
        <v>5.66</v>
      </c>
      <c r="K185" s="1683">
        <v>0</v>
      </c>
      <c r="L185" s="1683">
        <v>0</v>
      </c>
      <c r="M185" s="912"/>
      <c r="N185" s="912"/>
    </row>
    <row r="186" spans="1:14" ht="13.5" customHeight="1">
      <c r="A186" s="365" t="s">
        <v>261</v>
      </c>
      <c r="B186" s="372">
        <v>968</v>
      </c>
      <c r="C186" s="372">
        <v>104</v>
      </c>
      <c r="D186" s="372" t="s">
        <v>70</v>
      </c>
      <c r="E186" s="372">
        <v>500</v>
      </c>
      <c r="F186" s="379">
        <v>244</v>
      </c>
      <c r="G186" s="379">
        <v>340</v>
      </c>
      <c r="H186" s="1683">
        <f t="shared" si="15"/>
        <v>265.28799999999995</v>
      </c>
      <c r="I186" s="1684">
        <f>2.472+18.413</f>
        <v>20.885</v>
      </c>
      <c r="J186" s="1684">
        <f>260.272-18.413</f>
        <v>241.85899999999998</v>
      </c>
      <c r="K186" s="1683">
        <v>1.272</v>
      </c>
      <c r="L186" s="1683">
        <v>1.272</v>
      </c>
      <c r="M186" s="912"/>
      <c r="N186" s="912"/>
    </row>
    <row r="187" spans="1:14" ht="15.75" customHeight="1">
      <c r="A187" s="385" t="s">
        <v>1187</v>
      </c>
      <c r="B187" s="724">
        <v>968</v>
      </c>
      <c r="C187" s="724">
        <v>104</v>
      </c>
      <c r="D187" s="724" t="s">
        <v>63</v>
      </c>
      <c r="E187" s="724">
        <v>500</v>
      </c>
      <c r="F187" s="1950">
        <v>300</v>
      </c>
      <c r="G187" s="1950"/>
      <c r="H187" s="715">
        <f t="shared" si="15"/>
        <v>57.067</v>
      </c>
      <c r="I187" s="715">
        <f>I188+I198</f>
        <v>57.067</v>
      </c>
      <c r="J187" s="715">
        <f>J188+J198</f>
        <v>0</v>
      </c>
      <c r="K187" s="715">
        <f>K188+K198</f>
        <v>0</v>
      </c>
      <c r="L187" s="715">
        <f>L188+L198</f>
        <v>0</v>
      </c>
      <c r="M187" s="912"/>
      <c r="N187" s="912"/>
    </row>
    <row r="188" spans="1:14" ht="26.25" customHeight="1">
      <c r="A188" s="1161" t="s">
        <v>1308</v>
      </c>
      <c r="B188" s="1168">
        <v>968</v>
      </c>
      <c r="C188" s="1168">
        <v>104</v>
      </c>
      <c r="D188" s="1168" t="s">
        <v>63</v>
      </c>
      <c r="E188" s="1168"/>
      <c r="F188" s="1162">
        <v>321</v>
      </c>
      <c r="G188" s="1162"/>
      <c r="H188" s="1169">
        <f t="shared" si="15"/>
        <v>57.067</v>
      </c>
      <c r="I188" s="1169">
        <f>I190+I195</f>
        <v>57.067</v>
      </c>
      <c r="J188" s="1169">
        <f>J190+J195</f>
        <v>0</v>
      </c>
      <c r="K188" s="1169">
        <f>K190+K195</f>
        <v>0</v>
      </c>
      <c r="L188" s="1169">
        <f>L190+L195</f>
        <v>0</v>
      </c>
      <c r="M188" s="912"/>
      <c r="N188" s="912"/>
    </row>
    <row r="189" spans="1:14" ht="18.75" customHeight="1">
      <c r="A189" s="363" t="s">
        <v>350</v>
      </c>
      <c r="B189" s="127">
        <v>968</v>
      </c>
      <c r="C189" s="127">
        <v>104</v>
      </c>
      <c r="D189" s="127" t="s">
        <v>70</v>
      </c>
      <c r="E189" s="127">
        <v>500</v>
      </c>
      <c r="F189" s="377">
        <v>321</v>
      </c>
      <c r="G189" s="377">
        <v>200</v>
      </c>
      <c r="H189" s="2358">
        <f t="shared" si="15"/>
        <v>57.067</v>
      </c>
      <c r="I189" s="2358">
        <f>I190</f>
        <v>57.067</v>
      </c>
      <c r="J189" s="2358">
        <f>J190</f>
        <v>0</v>
      </c>
      <c r="K189" s="2358">
        <f>K190</f>
        <v>0</v>
      </c>
      <c r="L189" s="2358">
        <f>L190</f>
        <v>0</v>
      </c>
      <c r="M189" s="912"/>
      <c r="N189" s="912"/>
    </row>
    <row r="190" spans="1:14" ht="17.25" customHeight="1">
      <c r="A190" s="365" t="s">
        <v>356</v>
      </c>
      <c r="B190" s="372">
        <v>968</v>
      </c>
      <c r="C190" s="372">
        <v>104</v>
      </c>
      <c r="D190" s="372" t="s">
        <v>70</v>
      </c>
      <c r="E190" s="372">
        <v>598</v>
      </c>
      <c r="F190" s="372">
        <v>321</v>
      </c>
      <c r="G190" s="378">
        <v>260</v>
      </c>
      <c r="H190" s="2424">
        <f>H191</f>
        <v>57.067</v>
      </c>
      <c r="I190" s="2461">
        <f aca="true" t="shared" si="16" ref="I190:L191">I191</f>
        <v>57.067</v>
      </c>
      <c r="J190" s="2462">
        <f t="shared" si="16"/>
        <v>0</v>
      </c>
      <c r="K190" s="2462">
        <f t="shared" si="16"/>
        <v>0</v>
      </c>
      <c r="L190" s="2463">
        <f t="shared" si="16"/>
        <v>0</v>
      </c>
      <c r="M190" s="912"/>
      <c r="N190" s="912"/>
    </row>
    <row r="191" spans="1:14" ht="12.75">
      <c r="A191" s="366" t="s">
        <v>357</v>
      </c>
      <c r="B191" s="373">
        <v>968</v>
      </c>
      <c r="C191" s="373">
        <v>104</v>
      </c>
      <c r="D191" s="373" t="s">
        <v>70</v>
      </c>
      <c r="E191" s="373">
        <v>598</v>
      </c>
      <c r="F191" s="373">
        <v>321</v>
      </c>
      <c r="G191" s="379">
        <v>262</v>
      </c>
      <c r="H191" s="1684">
        <f>SUM(I191:L191)</f>
        <v>57.067</v>
      </c>
      <c r="I191" s="2464">
        <f>56.595+0.472</f>
        <v>57.067</v>
      </c>
      <c r="J191" s="2464">
        <f t="shared" si="16"/>
        <v>0</v>
      </c>
      <c r="K191" s="2464">
        <f t="shared" si="16"/>
        <v>0</v>
      </c>
      <c r="L191" s="2464">
        <f t="shared" si="16"/>
        <v>0</v>
      </c>
      <c r="M191" s="912"/>
      <c r="N191" s="912"/>
    </row>
    <row r="192" spans="1:14" ht="12.75" hidden="1">
      <c r="A192" s="366"/>
      <c r="B192" s="373"/>
      <c r="C192" s="373"/>
      <c r="D192" s="373"/>
      <c r="E192" s="373"/>
      <c r="F192" s="379"/>
      <c r="G192" s="379"/>
      <c r="H192" s="2348"/>
      <c r="I192" s="2349"/>
      <c r="J192" s="2349"/>
      <c r="K192" s="2348"/>
      <c r="L192" s="2348"/>
      <c r="M192" s="912"/>
      <c r="N192" s="912"/>
    </row>
    <row r="193" spans="1:14" ht="12.75" hidden="1">
      <c r="A193" s="366"/>
      <c r="B193" s="373"/>
      <c r="C193" s="373"/>
      <c r="D193" s="373"/>
      <c r="E193" s="373"/>
      <c r="F193" s="379"/>
      <c r="G193" s="379"/>
      <c r="H193" s="2350"/>
      <c r="I193" s="2351"/>
      <c r="J193" s="2351"/>
      <c r="K193" s="2350"/>
      <c r="L193" s="2350"/>
      <c r="M193" s="912"/>
      <c r="N193" s="912"/>
    </row>
    <row r="194" spans="1:14" ht="12.75" hidden="1">
      <c r="A194" s="365"/>
      <c r="B194" s="372"/>
      <c r="C194" s="372"/>
      <c r="D194" s="372"/>
      <c r="E194" s="372"/>
      <c r="F194" s="378"/>
      <c r="G194" s="378"/>
      <c r="H194" s="2352"/>
      <c r="I194" s="2353"/>
      <c r="J194" s="2353"/>
      <c r="K194" s="2352"/>
      <c r="L194" s="2352"/>
      <c r="M194" s="912"/>
      <c r="N194" s="912"/>
    </row>
    <row r="195" spans="1:14" ht="12.75" hidden="1">
      <c r="A195" s="366"/>
      <c r="B195" s="373"/>
      <c r="C195" s="373"/>
      <c r="D195" s="373"/>
      <c r="E195" s="373"/>
      <c r="F195" s="379"/>
      <c r="G195" s="379"/>
      <c r="H195" s="2348"/>
      <c r="I195" s="2349"/>
      <c r="J195" s="2349"/>
      <c r="K195" s="2348"/>
      <c r="L195" s="2348"/>
      <c r="M195" s="912"/>
      <c r="N195" s="912"/>
    </row>
    <row r="196" spans="1:14" ht="12.75" hidden="1">
      <c r="A196" s="366"/>
      <c r="B196" s="373"/>
      <c r="C196" s="373"/>
      <c r="D196" s="373"/>
      <c r="E196" s="373"/>
      <c r="F196" s="379"/>
      <c r="G196" s="379"/>
      <c r="H196" s="2348"/>
      <c r="I196" s="2349"/>
      <c r="J196" s="2349"/>
      <c r="K196" s="2348"/>
      <c r="L196" s="2348"/>
      <c r="M196" s="912"/>
      <c r="N196" s="912"/>
    </row>
    <row r="197" spans="1:14" ht="12.75" customHeight="1" hidden="1">
      <c r="A197" s="366"/>
      <c r="B197" s="373"/>
      <c r="C197" s="373"/>
      <c r="D197" s="373"/>
      <c r="E197" s="373"/>
      <c r="F197" s="379"/>
      <c r="G197" s="379"/>
      <c r="H197" s="2348"/>
      <c r="I197" s="2349"/>
      <c r="J197" s="2349"/>
      <c r="K197" s="2348"/>
      <c r="L197" s="2348"/>
      <c r="M197" s="912"/>
      <c r="N197" s="912"/>
    </row>
    <row r="198" spans="1:14" ht="12.75" customHeight="1" hidden="1">
      <c r="A198" s="363"/>
      <c r="B198" s="127"/>
      <c r="C198" s="127"/>
      <c r="D198" s="127"/>
      <c r="E198" s="127"/>
      <c r="F198" s="377"/>
      <c r="G198" s="377"/>
      <c r="H198" s="2347"/>
      <c r="I198" s="2354"/>
      <c r="J198" s="2354"/>
      <c r="K198" s="2354"/>
      <c r="L198" s="2347"/>
      <c r="M198" s="912"/>
      <c r="N198" s="912"/>
    </row>
    <row r="199" spans="1:14" ht="12.75" customHeight="1" hidden="1">
      <c r="A199" s="365"/>
      <c r="B199" s="372"/>
      <c r="C199" s="372"/>
      <c r="D199" s="372"/>
      <c r="E199" s="372"/>
      <c r="F199" s="378"/>
      <c r="G199" s="378"/>
      <c r="H199" s="2352"/>
      <c r="I199" s="2353"/>
      <c r="J199" s="2354"/>
      <c r="K199" s="2347"/>
      <c r="L199" s="2347"/>
      <c r="M199" s="912"/>
      <c r="N199" s="912"/>
    </row>
    <row r="200" spans="1:14" ht="12.75" customHeight="1" hidden="1">
      <c r="A200" s="365"/>
      <c r="B200" s="372"/>
      <c r="C200" s="372"/>
      <c r="D200" s="372"/>
      <c r="E200" s="372"/>
      <c r="F200" s="378"/>
      <c r="G200" s="378"/>
      <c r="H200" s="2352"/>
      <c r="I200" s="2353"/>
      <c r="J200" s="2353"/>
      <c r="K200" s="2352"/>
      <c r="L200" s="2352"/>
      <c r="M200" s="912"/>
      <c r="N200" s="912"/>
    </row>
    <row r="201" spans="1:14" ht="18" customHeight="1">
      <c r="A201" s="385" t="s">
        <v>1189</v>
      </c>
      <c r="B201" s="724">
        <v>968</v>
      </c>
      <c r="C201" s="724">
        <v>104</v>
      </c>
      <c r="D201" s="724" t="s">
        <v>63</v>
      </c>
      <c r="E201" s="724">
        <v>500</v>
      </c>
      <c r="F201" s="1950">
        <v>800</v>
      </c>
      <c r="G201" s="1950"/>
      <c r="H201" s="715">
        <f>SUM(I201:L201)</f>
        <v>30.6</v>
      </c>
      <c r="I201" s="1951">
        <f>I202+I205</f>
        <v>0</v>
      </c>
      <c r="J201" s="1951">
        <f>J202+J205</f>
        <v>15</v>
      </c>
      <c r="K201" s="1951">
        <f>K202+K205</f>
        <v>10.6</v>
      </c>
      <c r="L201" s="1951">
        <f>L202+L205</f>
        <v>5</v>
      </c>
      <c r="M201" s="912"/>
      <c r="N201" s="912"/>
    </row>
    <row r="202" spans="1:14" ht="12.75" customHeight="1">
      <c r="A202" s="1161" t="s">
        <v>1083</v>
      </c>
      <c r="B202" s="1168">
        <v>968</v>
      </c>
      <c r="C202" s="1168">
        <v>104</v>
      </c>
      <c r="D202" s="1168" t="s">
        <v>63</v>
      </c>
      <c r="E202" s="1168">
        <v>500</v>
      </c>
      <c r="F202" s="1162">
        <v>851</v>
      </c>
      <c r="G202" s="1957"/>
      <c r="H202" s="1169">
        <f aca="true" t="shared" si="17" ref="H202:L206">H203</f>
        <v>20.6</v>
      </c>
      <c r="I202" s="1169">
        <f t="shared" si="17"/>
        <v>0</v>
      </c>
      <c r="J202" s="1169">
        <f t="shared" si="17"/>
        <v>5</v>
      </c>
      <c r="K202" s="1169">
        <f t="shared" si="17"/>
        <v>10.6</v>
      </c>
      <c r="L202" s="1169">
        <f t="shared" si="17"/>
        <v>5</v>
      </c>
      <c r="M202" s="912"/>
      <c r="N202" s="912"/>
    </row>
    <row r="203" spans="1:14" ht="12.75" customHeight="1">
      <c r="A203" s="363" t="s">
        <v>350</v>
      </c>
      <c r="B203" s="127">
        <v>968</v>
      </c>
      <c r="C203" s="127">
        <v>104</v>
      </c>
      <c r="D203" s="127" t="s">
        <v>70</v>
      </c>
      <c r="E203" s="127">
        <v>500</v>
      </c>
      <c r="F203" s="377">
        <v>851</v>
      </c>
      <c r="G203" s="377">
        <v>200</v>
      </c>
      <c r="H203" s="2357">
        <f t="shared" si="17"/>
        <v>20.6</v>
      </c>
      <c r="I203" s="2357">
        <f t="shared" si="17"/>
        <v>0</v>
      </c>
      <c r="J203" s="2357">
        <f t="shared" si="17"/>
        <v>5</v>
      </c>
      <c r="K203" s="2357">
        <f t="shared" si="17"/>
        <v>10.6</v>
      </c>
      <c r="L203" s="2357">
        <f t="shared" si="17"/>
        <v>5</v>
      </c>
      <c r="M203" s="912"/>
      <c r="N203" s="912"/>
    </row>
    <row r="204" spans="1:14" ht="12.75" customHeight="1">
      <c r="A204" s="365" t="s">
        <v>259</v>
      </c>
      <c r="B204" s="372">
        <v>968</v>
      </c>
      <c r="C204" s="372">
        <v>104</v>
      </c>
      <c r="D204" s="372" t="s">
        <v>70</v>
      </c>
      <c r="E204" s="372">
        <v>500</v>
      </c>
      <c r="F204" s="378">
        <v>851</v>
      </c>
      <c r="G204" s="378">
        <v>290</v>
      </c>
      <c r="H204" s="2358">
        <f>SUM(I204:L204)</f>
        <v>20.6</v>
      </c>
      <c r="I204" s="2359">
        <f>7.2-1-6.2</f>
        <v>0</v>
      </c>
      <c r="J204" s="2359">
        <v>5</v>
      </c>
      <c r="K204" s="2358">
        <v>10.6</v>
      </c>
      <c r="L204" s="2358">
        <v>5</v>
      </c>
      <c r="M204" s="912"/>
      <c r="N204" s="912"/>
    </row>
    <row r="205" spans="1:14" ht="12.75" customHeight="1">
      <c r="A205" s="1161" t="s">
        <v>1082</v>
      </c>
      <c r="B205" s="1168">
        <v>968</v>
      </c>
      <c r="C205" s="1168">
        <v>104</v>
      </c>
      <c r="D205" s="1168" t="s">
        <v>63</v>
      </c>
      <c r="E205" s="1168">
        <v>500</v>
      </c>
      <c r="F205" s="1162">
        <v>852</v>
      </c>
      <c r="G205" s="1957"/>
      <c r="H205" s="1169">
        <f t="shared" si="17"/>
        <v>10</v>
      </c>
      <c r="I205" s="1169">
        <f t="shared" si="17"/>
        <v>0</v>
      </c>
      <c r="J205" s="1169">
        <f t="shared" si="17"/>
        <v>10</v>
      </c>
      <c r="K205" s="1169">
        <f t="shared" si="17"/>
        <v>0</v>
      </c>
      <c r="L205" s="1169">
        <f t="shared" si="17"/>
        <v>0</v>
      </c>
      <c r="M205" s="912"/>
      <c r="N205" s="912"/>
    </row>
    <row r="206" spans="1:14" ht="12.75" customHeight="1">
      <c r="A206" s="363" t="s">
        <v>350</v>
      </c>
      <c r="B206" s="127">
        <v>968</v>
      </c>
      <c r="C206" s="127">
        <v>104</v>
      </c>
      <c r="D206" s="127" t="s">
        <v>70</v>
      </c>
      <c r="E206" s="127">
        <v>500</v>
      </c>
      <c r="F206" s="377">
        <v>852</v>
      </c>
      <c r="G206" s="377">
        <v>200</v>
      </c>
      <c r="H206" s="2357">
        <f t="shared" si="17"/>
        <v>10</v>
      </c>
      <c r="I206" s="2357">
        <f t="shared" si="17"/>
        <v>0</v>
      </c>
      <c r="J206" s="2357">
        <f t="shared" si="17"/>
        <v>10</v>
      </c>
      <c r="K206" s="2357">
        <f t="shared" si="17"/>
        <v>0</v>
      </c>
      <c r="L206" s="2357">
        <f t="shared" si="17"/>
        <v>0</v>
      </c>
      <c r="M206" s="912"/>
      <c r="N206" s="912"/>
    </row>
    <row r="207" spans="1:14" ht="12.75" customHeight="1">
      <c r="A207" s="365" t="s">
        <v>259</v>
      </c>
      <c r="B207" s="372">
        <v>968</v>
      </c>
      <c r="C207" s="372">
        <v>104</v>
      </c>
      <c r="D207" s="372" t="s">
        <v>70</v>
      </c>
      <c r="E207" s="372">
        <v>500</v>
      </c>
      <c r="F207" s="378">
        <v>852</v>
      </c>
      <c r="G207" s="378">
        <v>290</v>
      </c>
      <c r="H207" s="2358">
        <f>SUM(I207:L207)</f>
        <v>10</v>
      </c>
      <c r="I207" s="2359">
        <f>10-10</f>
        <v>0</v>
      </c>
      <c r="J207" s="2359">
        <f>10</f>
        <v>10</v>
      </c>
      <c r="K207" s="2358">
        <v>0</v>
      </c>
      <c r="L207" s="2358">
        <v>0</v>
      </c>
      <c r="M207" s="912"/>
      <c r="N207" s="912"/>
    </row>
    <row r="208" spans="1:14" ht="39.75" customHeight="1">
      <c r="A208" s="385" t="s">
        <v>1297</v>
      </c>
      <c r="B208" s="137">
        <v>968</v>
      </c>
      <c r="C208" s="137">
        <v>104</v>
      </c>
      <c r="D208" s="137" t="s">
        <v>1298</v>
      </c>
      <c r="E208" s="137"/>
      <c r="F208" s="380"/>
      <c r="G208" s="834"/>
      <c r="H208" s="726">
        <f>H210</f>
        <v>5.6</v>
      </c>
      <c r="I208" s="853">
        <f aca="true" t="shared" si="18" ref="I208:L209">I209</f>
        <v>0</v>
      </c>
      <c r="J208" s="853">
        <f t="shared" si="18"/>
        <v>5.6</v>
      </c>
      <c r="K208" s="853">
        <f t="shared" si="18"/>
        <v>0</v>
      </c>
      <c r="L208" s="726">
        <f t="shared" si="18"/>
        <v>0</v>
      </c>
      <c r="M208" s="912"/>
      <c r="N208" s="912"/>
    </row>
    <row r="209" spans="1:14" ht="18" customHeight="1">
      <c r="A209" s="385" t="s">
        <v>1186</v>
      </c>
      <c r="B209" s="724">
        <v>968</v>
      </c>
      <c r="C209" s="724">
        <v>104</v>
      </c>
      <c r="D209" s="724" t="s">
        <v>1298</v>
      </c>
      <c r="E209" s="724">
        <v>598</v>
      </c>
      <c r="F209" s="724">
        <v>200</v>
      </c>
      <c r="G209" s="1145"/>
      <c r="H209" s="715">
        <f>SUM(I209:L209)</f>
        <v>5.6</v>
      </c>
      <c r="I209" s="1951">
        <f t="shared" si="18"/>
        <v>0</v>
      </c>
      <c r="J209" s="1951">
        <f t="shared" si="18"/>
        <v>5.6</v>
      </c>
      <c r="K209" s="1951">
        <f t="shared" si="18"/>
        <v>0</v>
      </c>
      <c r="L209" s="715">
        <f t="shared" si="18"/>
        <v>0</v>
      </c>
      <c r="M209" s="912"/>
      <c r="N209" s="912"/>
    </row>
    <row r="210" spans="1:14" ht="15" customHeight="1">
      <c r="A210" s="1161" t="s">
        <v>1063</v>
      </c>
      <c r="B210" s="1168">
        <v>968</v>
      </c>
      <c r="C210" s="1168">
        <v>104</v>
      </c>
      <c r="D210" s="1168" t="s">
        <v>1298</v>
      </c>
      <c r="E210" s="1168">
        <v>598</v>
      </c>
      <c r="F210" s="1168">
        <v>244</v>
      </c>
      <c r="G210" s="1145"/>
      <c r="H210" s="1169">
        <f>H214+H217</f>
        <v>5.6</v>
      </c>
      <c r="I210" s="1169">
        <f>I214+I217</f>
        <v>0</v>
      </c>
      <c r="J210" s="1169">
        <f>J214+J217</f>
        <v>5.6</v>
      </c>
      <c r="K210" s="1169">
        <f>K214+K217</f>
        <v>0</v>
      </c>
      <c r="L210" s="1169">
        <f>L214+L217</f>
        <v>0</v>
      </c>
      <c r="M210" s="912"/>
      <c r="N210" s="912"/>
    </row>
    <row r="211" spans="1:14" ht="16.5" customHeight="1" hidden="1">
      <c r="A211" s="363" t="s">
        <v>350</v>
      </c>
      <c r="B211" s="127">
        <v>968</v>
      </c>
      <c r="C211" s="127">
        <v>104</v>
      </c>
      <c r="D211" s="127" t="s">
        <v>69</v>
      </c>
      <c r="E211" s="127">
        <v>500</v>
      </c>
      <c r="F211" s="127">
        <v>500</v>
      </c>
      <c r="G211" s="377">
        <v>200</v>
      </c>
      <c r="H211" s="1685">
        <f aca="true" t="shared" si="19" ref="H211:L212">H212</f>
        <v>0</v>
      </c>
      <c r="I211" s="1685">
        <f t="shared" si="19"/>
        <v>0</v>
      </c>
      <c r="J211" s="1686">
        <f t="shared" si="19"/>
        <v>0</v>
      </c>
      <c r="K211" s="1685">
        <f t="shared" si="19"/>
        <v>0</v>
      </c>
      <c r="L211" s="1685">
        <f t="shared" si="19"/>
        <v>0</v>
      </c>
      <c r="M211" s="912"/>
      <c r="N211" s="912"/>
    </row>
    <row r="212" spans="1:14" ht="12.75" hidden="1">
      <c r="A212" s="365" t="s">
        <v>351</v>
      </c>
      <c r="B212" s="372">
        <v>968</v>
      </c>
      <c r="C212" s="372">
        <v>104</v>
      </c>
      <c r="D212" s="372" t="s">
        <v>69</v>
      </c>
      <c r="E212" s="372">
        <v>598</v>
      </c>
      <c r="F212" s="372">
        <v>598</v>
      </c>
      <c r="G212" s="378">
        <v>220</v>
      </c>
      <c r="H212" s="2358">
        <f t="shared" si="19"/>
        <v>0</v>
      </c>
      <c r="I212" s="2358">
        <f t="shared" si="19"/>
        <v>0</v>
      </c>
      <c r="J212" s="2359">
        <f t="shared" si="19"/>
        <v>0</v>
      </c>
      <c r="K212" s="2358">
        <f t="shared" si="19"/>
        <v>0</v>
      </c>
      <c r="L212" s="2358">
        <f t="shared" si="19"/>
        <v>0</v>
      </c>
      <c r="M212" s="912"/>
      <c r="N212" s="912"/>
    </row>
    <row r="213" spans="1:14" ht="12.75" hidden="1">
      <c r="A213" s="366" t="s">
        <v>353</v>
      </c>
      <c r="B213" s="373">
        <v>968</v>
      </c>
      <c r="C213" s="373">
        <v>104</v>
      </c>
      <c r="D213" s="373" t="s">
        <v>69</v>
      </c>
      <c r="E213" s="373">
        <v>598</v>
      </c>
      <c r="F213" s="373">
        <v>598</v>
      </c>
      <c r="G213" s="379">
        <v>226</v>
      </c>
      <c r="H213" s="2358">
        <f>SUM(I213:L213)</f>
        <v>0</v>
      </c>
      <c r="I213" s="2359">
        <f>20-20</f>
        <v>0</v>
      </c>
      <c r="J213" s="2359">
        <v>0</v>
      </c>
      <c r="K213" s="2358">
        <v>0</v>
      </c>
      <c r="L213" s="2358">
        <v>0</v>
      </c>
      <c r="M213" s="912"/>
      <c r="N213" s="912"/>
    </row>
    <row r="214" spans="1:14" ht="12.75">
      <c r="A214" s="832" t="s">
        <v>350</v>
      </c>
      <c r="B214" s="127">
        <v>968</v>
      </c>
      <c r="C214" s="127">
        <v>104</v>
      </c>
      <c r="D214" s="127" t="s">
        <v>1299</v>
      </c>
      <c r="E214" s="127">
        <v>598</v>
      </c>
      <c r="F214" s="127">
        <v>244</v>
      </c>
      <c r="G214" s="834">
        <v>200</v>
      </c>
      <c r="H214" s="2358">
        <f>SUM(I214:L214)</f>
        <v>5.6</v>
      </c>
      <c r="I214" s="2359">
        <f aca="true" t="shared" si="20" ref="I214:L215">I215</f>
        <v>0</v>
      </c>
      <c r="J214" s="2359">
        <f t="shared" si="20"/>
        <v>5.6</v>
      </c>
      <c r="K214" s="2359">
        <f t="shared" si="20"/>
        <v>0</v>
      </c>
      <c r="L214" s="2358">
        <f t="shared" si="20"/>
        <v>0</v>
      </c>
      <c r="M214" s="912"/>
      <c r="N214" s="912"/>
    </row>
    <row r="215" spans="1:14" ht="12.75">
      <c r="A215" s="365" t="s">
        <v>351</v>
      </c>
      <c r="B215" s="373">
        <v>968</v>
      </c>
      <c r="C215" s="373">
        <v>104</v>
      </c>
      <c r="D215" s="373" t="s">
        <v>1299</v>
      </c>
      <c r="E215" s="373">
        <v>598</v>
      </c>
      <c r="F215" s="373">
        <v>244</v>
      </c>
      <c r="G215" s="378">
        <v>220</v>
      </c>
      <c r="H215" s="2358">
        <f>SUM(I215:L215)</f>
        <v>5.6</v>
      </c>
      <c r="I215" s="2359">
        <f t="shared" si="20"/>
        <v>0</v>
      </c>
      <c r="J215" s="2359">
        <f t="shared" si="20"/>
        <v>5.6</v>
      </c>
      <c r="K215" s="2359">
        <f t="shared" si="20"/>
        <v>0</v>
      </c>
      <c r="L215" s="2358">
        <f t="shared" si="20"/>
        <v>0</v>
      </c>
      <c r="M215" s="912"/>
      <c r="N215" s="912"/>
    </row>
    <row r="216" spans="1:14" ht="12.75">
      <c r="A216" s="366" t="s">
        <v>353</v>
      </c>
      <c r="B216" s="373">
        <v>968</v>
      </c>
      <c r="C216" s="373">
        <v>104</v>
      </c>
      <c r="D216" s="373" t="s">
        <v>1299</v>
      </c>
      <c r="E216" s="373">
        <v>598</v>
      </c>
      <c r="F216" s="373">
        <v>244</v>
      </c>
      <c r="G216" s="379">
        <v>226</v>
      </c>
      <c r="H216" s="2358">
        <f>SUM(I216:L216)</f>
        <v>5.6</v>
      </c>
      <c r="I216" s="2359">
        <f>5-5</f>
        <v>0</v>
      </c>
      <c r="J216" s="2359">
        <v>5.6</v>
      </c>
      <c r="K216" s="2358">
        <v>0</v>
      </c>
      <c r="L216" s="2358">
        <v>0</v>
      </c>
      <c r="M216" s="912"/>
      <c r="N216" s="912"/>
    </row>
    <row r="217" spans="1:14" ht="12.75" hidden="1">
      <c r="A217" s="363" t="s">
        <v>354</v>
      </c>
      <c r="B217" s="127">
        <v>968</v>
      </c>
      <c r="C217" s="127">
        <v>104</v>
      </c>
      <c r="D217" s="127" t="s">
        <v>69</v>
      </c>
      <c r="E217" s="127">
        <v>598</v>
      </c>
      <c r="F217" s="127">
        <v>598</v>
      </c>
      <c r="G217" s="377">
        <v>300</v>
      </c>
      <c r="H217" s="2347">
        <f>SUM(H218:H219)</f>
        <v>0</v>
      </c>
      <c r="I217" s="2354">
        <f>SUM(I218:I219)</f>
        <v>0</v>
      </c>
      <c r="J217" s="2354">
        <f>SUM(J218:J219)</f>
        <v>0</v>
      </c>
      <c r="K217" s="2347">
        <f>SUM(K218:K219)</f>
        <v>0</v>
      </c>
      <c r="L217" s="2347">
        <f>SUM(L218:L219)</f>
        <v>0</v>
      </c>
      <c r="M217" s="912"/>
      <c r="N217" s="912"/>
    </row>
    <row r="218" spans="1:14" ht="12.75" hidden="1">
      <c r="A218" s="366" t="s">
        <v>260</v>
      </c>
      <c r="B218" s="373">
        <v>968</v>
      </c>
      <c r="C218" s="373">
        <v>104</v>
      </c>
      <c r="D218" s="373" t="s">
        <v>69</v>
      </c>
      <c r="E218" s="373">
        <v>598</v>
      </c>
      <c r="F218" s="373">
        <v>598</v>
      </c>
      <c r="G218" s="379">
        <v>310</v>
      </c>
      <c r="H218" s="2348">
        <f>SUM(I218:L218)</f>
        <v>0</v>
      </c>
      <c r="I218" s="2349">
        <f>25-25</f>
        <v>0</v>
      </c>
      <c r="J218" s="2349">
        <v>0</v>
      </c>
      <c r="K218" s="2348">
        <v>0</v>
      </c>
      <c r="L218" s="2348">
        <v>0</v>
      </c>
      <c r="M218" s="912"/>
      <c r="N218" s="912"/>
    </row>
    <row r="219" spans="1:14" ht="15" customHeight="1" hidden="1">
      <c r="A219" s="366" t="s">
        <v>261</v>
      </c>
      <c r="B219" s="373">
        <v>968</v>
      </c>
      <c r="C219" s="373">
        <v>104</v>
      </c>
      <c r="D219" s="373" t="s">
        <v>69</v>
      </c>
      <c r="E219" s="373">
        <v>598</v>
      </c>
      <c r="F219" s="373">
        <v>598</v>
      </c>
      <c r="G219" s="379">
        <v>340</v>
      </c>
      <c r="H219" s="2348">
        <f>SUM(I219:L219)</f>
        <v>0</v>
      </c>
      <c r="I219" s="2349">
        <v>0</v>
      </c>
      <c r="J219" s="2349">
        <v>0</v>
      </c>
      <c r="K219" s="2348">
        <v>0</v>
      </c>
      <c r="L219" s="2348">
        <v>0</v>
      </c>
      <c r="M219" s="912"/>
      <c r="N219" s="912"/>
    </row>
    <row r="220" spans="1:14" ht="16.5" customHeight="1">
      <c r="A220" s="835" t="s">
        <v>26</v>
      </c>
      <c r="B220" s="836">
        <v>968</v>
      </c>
      <c r="C220" s="836">
        <v>111</v>
      </c>
      <c r="D220" s="836"/>
      <c r="E220" s="836"/>
      <c r="F220" s="837"/>
      <c r="G220" s="837"/>
      <c r="H220" s="2456">
        <f>SUM(I220:L220)</f>
        <v>1279.516</v>
      </c>
      <c r="I220" s="2455">
        <f aca="true" t="shared" si="21" ref="H220:L224">I221</f>
        <v>0</v>
      </c>
      <c r="J220" s="2455">
        <f t="shared" si="21"/>
        <v>152.582</v>
      </c>
      <c r="K220" s="2456">
        <f t="shared" si="21"/>
        <v>20.85</v>
      </c>
      <c r="L220" s="2456">
        <f>L221</f>
        <v>1106.084</v>
      </c>
      <c r="M220" s="912"/>
      <c r="N220" s="912"/>
    </row>
    <row r="221" spans="1:14" ht="14.25" customHeight="1">
      <c r="A221" s="728" t="s">
        <v>27</v>
      </c>
      <c r="B221" s="723">
        <v>968</v>
      </c>
      <c r="C221" s="723">
        <v>111</v>
      </c>
      <c r="D221" s="723" t="s">
        <v>29</v>
      </c>
      <c r="E221" s="723"/>
      <c r="F221" s="725"/>
      <c r="G221" s="725"/>
      <c r="H221" s="726">
        <f>H223</f>
        <v>1279.516</v>
      </c>
      <c r="I221" s="853">
        <f>I222</f>
        <v>0</v>
      </c>
      <c r="J221" s="853">
        <f t="shared" si="21"/>
        <v>152.582</v>
      </c>
      <c r="K221" s="853">
        <f t="shared" si="21"/>
        <v>20.85</v>
      </c>
      <c r="L221" s="726">
        <f t="shared" si="21"/>
        <v>1106.084</v>
      </c>
      <c r="M221" s="912"/>
      <c r="N221" s="912"/>
    </row>
    <row r="222" spans="1:14" ht="14.25" customHeight="1">
      <c r="A222" s="385" t="s">
        <v>1189</v>
      </c>
      <c r="B222" s="724">
        <v>968</v>
      </c>
      <c r="C222" s="724">
        <v>111</v>
      </c>
      <c r="D222" s="724" t="s">
        <v>29</v>
      </c>
      <c r="E222" s="724">
        <v>13</v>
      </c>
      <c r="F222" s="1950">
        <v>800</v>
      </c>
      <c r="G222" s="1950"/>
      <c r="H222" s="715">
        <f>SUM(I222:L222)</f>
        <v>1279.516</v>
      </c>
      <c r="I222" s="1951">
        <f>I223</f>
        <v>0</v>
      </c>
      <c r="J222" s="1951">
        <f>J223</f>
        <v>152.582</v>
      </c>
      <c r="K222" s="1951">
        <f>K223</f>
        <v>20.85</v>
      </c>
      <c r="L222" s="715">
        <f>L223</f>
        <v>1106.084</v>
      </c>
      <c r="M222" s="912"/>
      <c r="N222" s="912"/>
    </row>
    <row r="223" spans="1:14" ht="13.5" customHeight="1">
      <c r="A223" s="1956" t="s">
        <v>989</v>
      </c>
      <c r="B223" s="1168">
        <v>968</v>
      </c>
      <c r="C223" s="1168">
        <v>111</v>
      </c>
      <c r="D223" s="1168" t="s">
        <v>29</v>
      </c>
      <c r="E223" s="1168">
        <v>13</v>
      </c>
      <c r="F223" s="1162">
        <v>870</v>
      </c>
      <c r="G223" s="1162"/>
      <c r="H223" s="1169">
        <f t="shared" si="21"/>
        <v>1279.516</v>
      </c>
      <c r="I223" s="1170">
        <f t="shared" si="21"/>
        <v>0</v>
      </c>
      <c r="J223" s="1170">
        <f t="shared" si="21"/>
        <v>152.582</v>
      </c>
      <c r="K223" s="1169">
        <f t="shared" si="21"/>
        <v>20.85</v>
      </c>
      <c r="L223" s="1169">
        <f>L224</f>
        <v>1106.084</v>
      </c>
      <c r="M223" s="912"/>
      <c r="N223" s="912"/>
    </row>
    <row r="224" spans="1:14" ht="14.25" customHeight="1">
      <c r="A224" s="832" t="s">
        <v>350</v>
      </c>
      <c r="B224" s="833">
        <v>968</v>
      </c>
      <c r="C224" s="833">
        <v>111</v>
      </c>
      <c r="D224" s="833" t="s">
        <v>29</v>
      </c>
      <c r="E224" s="833">
        <v>13</v>
      </c>
      <c r="F224" s="834">
        <v>870</v>
      </c>
      <c r="G224" s="834">
        <v>200</v>
      </c>
      <c r="H224" s="2425">
        <f t="shared" si="21"/>
        <v>1279.516</v>
      </c>
      <c r="I224" s="2424">
        <f t="shared" si="21"/>
        <v>0</v>
      </c>
      <c r="J224" s="2424">
        <f t="shared" si="21"/>
        <v>152.582</v>
      </c>
      <c r="K224" s="2425">
        <f t="shared" si="21"/>
        <v>20.85</v>
      </c>
      <c r="L224" s="2425">
        <f>L225</f>
        <v>1106.084</v>
      </c>
      <c r="M224" s="912"/>
      <c r="N224" s="912"/>
    </row>
    <row r="225" spans="1:14" ht="14.25" customHeight="1">
      <c r="A225" s="365" t="s">
        <v>259</v>
      </c>
      <c r="B225" s="372">
        <v>968</v>
      </c>
      <c r="C225" s="372">
        <v>111</v>
      </c>
      <c r="D225" s="372" t="s">
        <v>29</v>
      </c>
      <c r="E225" s="372">
        <v>13</v>
      </c>
      <c r="F225" s="378">
        <v>870</v>
      </c>
      <c r="G225" s="378">
        <v>290</v>
      </c>
      <c r="H225" s="2425">
        <f>SUM(I225:L225)</f>
        <v>1279.516</v>
      </c>
      <c r="I225" s="2424">
        <f>473.333-473.333+20.85-0.472-20.378</f>
        <v>0</v>
      </c>
      <c r="J225" s="2424">
        <f>186.455-186.455+20.85+137.392-5.66</f>
        <v>152.582</v>
      </c>
      <c r="K225" s="2425">
        <f>20.85</f>
        <v>20.85</v>
      </c>
      <c r="L225" s="2425">
        <f>3000-1779.466+20.85-135.3</f>
        <v>1106.084</v>
      </c>
      <c r="M225" s="912"/>
      <c r="N225" s="912"/>
    </row>
    <row r="226" spans="1:14" ht="18.75" customHeight="1">
      <c r="A226" s="386" t="s">
        <v>421</v>
      </c>
      <c r="B226" s="371">
        <v>968</v>
      </c>
      <c r="C226" s="371">
        <v>113</v>
      </c>
      <c r="D226" s="371"/>
      <c r="E226" s="371"/>
      <c r="F226" s="376"/>
      <c r="G226" s="376"/>
      <c r="H226" s="2456">
        <f>SUM(I226:L226)</f>
        <v>1275.9899999999998</v>
      </c>
      <c r="I226" s="2455">
        <f>I227+I240+I245+I250+I255+I261+I266+I273</f>
        <v>39.98</v>
      </c>
      <c r="J226" s="2455">
        <f>J227+J240+J245+J250+J255+J261+J266+J273</f>
        <v>588.42</v>
      </c>
      <c r="K226" s="2455">
        <f>K227+K240+K245+K250+K255+K261+K266+K273</f>
        <v>214.95999999999998</v>
      </c>
      <c r="L226" s="2455">
        <f>L227+L240+L245+L250+L255+L261+L266+L273</f>
        <v>432.63</v>
      </c>
      <c r="M226" s="912"/>
      <c r="N226" s="912"/>
    </row>
    <row r="227" spans="1:14" ht="27" customHeight="1">
      <c r="A227" s="385" t="s">
        <v>1006</v>
      </c>
      <c r="B227" s="137">
        <v>968</v>
      </c>
      <c r="C227" s="137">
        <v>113</v>
      </c>
      <c r="D227" s="137" t="s">
        <v>1005</v>
      </c>
      <c r="E227" s="137"/>
      <c r="F227" s="380"/>
      <c r="G227" s="380"/>
      <c r="H227" s="726">
        <f>H229</f>
        <v>109.65</v>
      </c>
      <c r="I227" s="853">
        <f aca="true" t="shared" si="22" ref="I227:L228">I228</f>
        <v>0</v>
      </c>
      <c r="J227" s="853">
        <f t="shared" si="22"/>
        <v>0</v>
      </c>
      <c r="K227" s="853">
        <f t="shared" si="22"/>
        <v>0</v>
      </c>
      <c r="L227" s="853">
        <f t="shared" si="22"/>
        <v>109.65</v>
      </c>
      <c r="M227" s="912"/>
      <c r="N227" s="912"/>
    </row>
    <row r="228" spans="1:14" ht="17.25" customHeight="1">
      <c r="A228" s="385" t="s">
        <v>1186</v>
      </c>
      <c r="B228" s="1168">
        <v>968</v>
      </c>
      <c r="C228" s="1168">
        <v>113</v>
      </c>
      <c r="D228" s="1168" t="s">
        <v>1005</v>
      </c>
      <c r="E228" s="1168">
        <v>500</v>
      </c>
      <c r="F228" s="1162">
        <v>200</v>
      </c>
      <c r="G228" s="380"/>
      <c r="H228" s="726">
        <f>SUM(I228:L228)</f>
        <v>109.65</v>
      </c>
      <c r="I228" s="853">
        <f t="shared" si="22"/>
        <v>0</v>
      </c>
      <c r="J228" s="853">
        <f t="shared" si="22"/>
        <v>0</v>
      </c>
      <c r="K228" s="853">
        <f t="shared" si="22"/>
        <v>0</v>
      </c>
      <c r="L228" s="726">
        <f t="shared" si="22"/>
        <v>109.65</v>
      </c>
      <c r="M228" s="912"/>
      <c r="N228" s="912"/>
    </row>
    <row r="229" spans="1:14" ht="12.75" customHeight="1">
      <c r="A229" s="1161" t="s">
        <v>1063</v>
      </c>
      <c r="B229" s="1168">
        <v>968</v>
      </c>
      <c r="C229" s="1168">
        <v>113</v>
      </c>
      <c r="D229" s="1168" t="s">
        <v>1005</v>
      </c>
      <c r="E229" s="1168">
        <v>500</v>
      </c>
      <c r="F229" s="1162">
        <v>244</v>
      </c>
      <c r="G229" s="1162"/>
      <c r="H229" s="1169">
        <f aca="true" t="shared" si="23" ref="H229:L230">H230</f>
        <v>109.65</v>
      </c>
      <c r="I229" s="1170">
        <f t="shared" si="23"/>
        <v>0</v>
      </c>
      <c r="J229" s="1170">
        <f t="shared" si="23"/>
        <v>0</v>
      </c>
      <c r="K229" s="1169">
        <f t="shared" si="23"/>
        <v>0</v>
      </c>
      <c r="L229" s="1169">
        <f t="shared" si="23"/>
        <v>109.65</v>
      </c>
      <c r="M229" s="912"/>
      <c r="N229" s="912"/>
    </row>
    <row r="230" spans="1:14" ht="12.75" customHeight="1">
      <c r="A230" s="363" t="s">
        <v>350</v>
      </c>
      <c r="B230" s="127">
        <v>968</v>
      </c>
      <c r="C230" s="127">
        <v>113</v>
      </c>
      <c r="D230" s="127" t="s">
        <v>1005</v>
      </c>
      <c r="E230" s="127">
        <v>500</v>
      </c>
      <c r="F230" s="377">
        <v>244</v>
      </c>
      <c r="G230" s="377">
        <v>200</v>
      </c>
      <c r="H230" s="1685">
        <f t="shared" si="23"/>
        <v>109.65</v>
      </c>
      <c r="I230" s="1686">
        <f t="shared" si="23"/>
        <v>0</v>
      </c>
      <c r="J230" s="1686">
        <f t="shared" si="23"/>
        <v>0</v>
      </c>
      <c r="K230" s="1685">
        <f t="shared" si="23"/>
        <v>0</v>
      </c>
      <c r="L230" s="1685">
        <f t="shared" si="23"/>
        <v>109.65</v>
      </c>
      <c r="M230" s="912"/>
      <c r="N230" s="912"/>
    </row>
    <row r="231" spans="1:14" ht="13.5" customHeight="1">
      <c r="A231" s="366" t="s">
        <v>353</v>
      </c>
      <c r="B231" s="373">
        <v>968</v>
      </c>
      <c r="C231" s="373">
        <v>113</v>
      </c>
      <c r="D231" s="373" t="s">
        <v>1005</v>
      </c>
      <c r="E231" s="373">
        <v>500</v>
      </c>
      <c r="F231" s="379">
        <v>244</v>
      </c>
      <c r="G231" s="379">
        <v>226</v>
      </c>
      <c r="H231" s="1683">
        <f>SUM(I231:L231)</f>
        <v>109.65</v>
      </c>
      <c r="I231" s="1684">
        <f>109.65-109.65</f>
        <v>0</v>
      </c>
      <c r="J231" s="1684">
        <v>0</v>
      </c>
      <c r="K231" s="1683">
        <v>0</v>
      </c>
      <c r="L231" s="1683">
        <f>109.65</f>
        <v>109.65</v>
      </c>
      <c r="M231" s="912"/>
      <c r="N231" s="912"/>
    </row>
    <row r="232" spans="1:14" ht="51.75" customHeight="1" hidden="1">
      <c r="A232" s="385" t="s">
        <v>425</v>
      </c>
      <c r="B232" s="137">
        <v>968</v>
      </c>
      <c r="C232" s="137">
        <v>113</v>
      </c>
      <c r="D232" s="137" t="s">
        <v>255</v>
      </c>
      <c r="E232" s="137"/>
      <c r="F232" s="380"/>
      <c r="G232" s="380"/>
      <c r="H232" s="2366">
        <f>H233+H237</f>
        <v>0</v>
      </c>
      <c r="I232" s="2366">
        <f>I236</f>
        <v>0</v>
      </c>
      <c r="J232" s="2366">
        <f>J236</f>
        <v>0</v>
      </c>
      <c r="K232" s="2366">
        <f>K236</f>
        <v>0</v>
      </c>
      <c r="L232" s="2366">
        <f>L236</f>
        <v>0</v>
      </c>
      <c r="M232" s="912"/>
      <c r="N232" s="912"/>
    </row>
    <row r="233" spans="1:14" ht="12.75" hidden="1">
      <c r="A233" s="385" t="s">
        <v>426</v>
      </c>
      <c r="B233" s="127">
        <v>968</v>
      </c>
      <c r="C233" s="127">
        <v>113</v>
      </c>
      <c r="D233" s="127" t="s">
        <v>255</v>
      </c>
      <c r="E233" s="127">
        <v>500</v>
      </c>
      <c r="F233" s="377"/>
      <c r="G233" s="377"/>
      <c r="H233" s="2375">
        <f aca="true" t="shared" si="24" ref="H233:L234">H234</f>
        <v>0</v>
      </c>
      <c r="I233" s="2376">
        <f t="shared" si="24"/>
        <v>0</v>
      </c>
      <c r="J233" s="2376">
        <f t="shared" si="24"/>
        <v>0</v>
      </c>
      <c r="K233" s="2375">
        <f t="shared" si="24"/>
        <v>0</v>
      </c>
      <c r="L233" s="2375">
        <f t="shared" si="24"/>
        <v>0</v>
      </c>
      <c r="M233" s="912"/>
      <c r="N233" s="912"/>
    </row>
    <row r="234" spans="1:14" ht="12.75" hidden="1">
      <c r="A234" s="363" t="s">
        <v>350</v>
      </c>
      <c r="B234" s="127">
        <v>968</v>
      </c>
      <c r="C234" s="127">
        <v>113</v>
      </c>
      <c r="D234" s="127" t="s">
        <v>255</v>
      </c>
      <c r="E234" s="127">
        <v>500</v>
      </c>
      <c r="F234" s="377"/>
      <c r="G234" s="377">
        <v>200</v>
      </c>
      <c r="H234" s="2375">
        <f t="shared" si="24"/>
        <v>0</v>
      </c>
      <c r="I234" s="2376">
        <f t="shared" si="24"/>
        <v>0</v>
      </c>
      <c r="J234" s="2376">
        <f t="shared" si="24"/>
        <v>0</v>
      </c>
      <c r="K234" s="2375">
        <f t="shared" si="24"/>
        <v>0</v>
      </c>
      <c r="L234" s="2375">
        <f t="shared" si="24"/>
        <v>0</v>
      </c>
      <c r="M234" s="912"/>
      <c r="N234" s="912"/>
    </row>
    <row r="235" spans="1:14" ht="12.75" hidden="1">
      <c r="A235" s="366" t="s">
        <v>353</v>
      </c>
      <c r="B235" s="373">
        <v>968</v>
      </c>
      <c r="C235" s="373">
        <v>113</v>
      </c>
      <c r="D235" s="373" t="s">
        <v>255</v>
      </c>
      <c r="E235" s="373">
        <v>500</v>
      </c>
      <c r="F235" s="379"/>
      <c r="G235" s="379">
        <v>226</v>
      </c>
      <c r="H235" s="2377">
        <f>SUM(I235:L235)</f>
        <v>0</v>
      </c>
      <c r="I235" s="2378">
        <v>0</v>
      </c>
      <c r="J235" s="2378">
        <v>0</v>
      </c>
      <c r="K235" s="2377">
        <f>137.5-137.5</f>
        <v>0</v>
      </c>
      <c r="L235" s="2377">
        <f>137.5-137.5</f>
        <v>0</v>
      </c>
      <c r="M235" s="912"/>
      <c r="N235" s="912"/>
    </row>
    <row r="236" spans="1:14" ht="24" hidden="1">
      <c r="A236" s="1949" t="s">
        <v>1190</v>
      </c>
      <c r="B236" s="1168">
        <v>968</v>
      </c>
      <c r="C236" s="1168">
        <v>113</v>
      </c>
      <c r="D236" s="1168" t="s">
        <v>255</v>
      </c>
      <c r="E236" s="1168">
        <v>19</v>
      </c>
      <c r="F236" s="1162">
        <v>600</v>
      </c>
      <c r="G236" s="1950"/>
      <c r="H236" s="2368">
        <f>SUM(I236:L236)</f>
        <v>0</v>
      </c>
      <c r="I236" s="2369">
        <f aca="true" t="shared" si="25" ref="I236:L238">I237</f>
        <v>0</v>
      </c>
      <c r="J236" s="2369">
        <f t="shared" si="25"/>
        <v>0</v>
      </c>
      <c r="K236" s="2369">
        <f t="shared" si="25"/>
        <v>0</v>
      </c>
      <c r="L236" s="2368">
        <f t="shared" si="25"/>
        <v>0</v>
      </c>
      <c r="M236" s="912"/>
      <c r="N236" s="912"/>
    </row>
    <row r="237" spans="1:14" ht="12.75" hidden="1">
      <c r="A237" s="1161" t="s">
        <v>932</v>
      </c>
      <c r="B237" s="1168">
        <v>968</v>
      </c>
      <c r="C237" s="1168">
        <v>113</v>
      </c>
      <c r="D237" s="1168" t="s">
        <v>255</v>
      </c>
      <c r="E237" s="1168">
        <v>19</v>
      </c>
      <c r="F237" s="1162">
        <v>630</v>
      </c>
      <c r="G237" s="1162"/>
      <c r="H237" s="2370">
        <f>H238</f>
        <v>0</v>
      </c>
      <c r="I237" s="2370">
        <f t="shared" si="25"/>
        <v>0</v>
      </c>
      <c r="J237" s="2370">
        <f t="shared" si="25"/>
        <v>0</v>
      </c>
      <c r="K237" s="2370">
        <f t="shared" si="25"/>
        <v>0</v>
      </c>
      <c r="L237" s="2370">
        <f t="shared" si="25"/>
        <v>0</v>
      </c>
      <c r="M237" s="912"/>
      <c r="N237" s="912"/>
    </row>
    <row r="238" spans="1:14" ht="12.75" hidden="1">
      <c r="A238" s="363" t="s">
        <v>350</v>
      </c>
      <c r="B238" s="127">
        <v>968</v>
      </c>
      <c r="C238" s="127">
        <v>113</v>
      </c>
      <c r="D238" s="127" t="s">
        <v>255</v>
      </c>
      <c r="E238" s="127">
        <v>19</v>
      </c>
      <c r="F238" s="377">
        <v>630</v>
      </c>
      <c r="G238" s="377">
        <v>200</v>
      </c>
      <c r="H238" s="2377">
        <f aca="true" t="shared" si="26" ref="H238:H244">SUM(I238:L238)</f>
        <v>0</v>
      </c>
      <c r="I238" s="2378">
        <f t="shared" si="25"/>
        <v>0</v>
      </c>
      <c r="J238" s="2378">
        <f t="shared" si="25"/>
        <v>0</v>
      </c>
      <c r="K238" s="2378">
        <f t="shared" si="25"/>
        <v>0</v>
      </c>
      <c r="L238" s="2377">
        <f t="shared" si="25"/>
        <v>0</v>
      </c>
      <c r="M238" s="912"/>
      <c r="N238" s="912"/>
    </row>
    <row r="239" spans="1:14" ht="24" customHeight="1" hidden="1">
      <c r="A239" s="1649" t="s">
        <v>933</v>
      </c>
      <c r="B239" s="373">
        <v>968</v>
      </c>
      <c r="C239" s="373">
        <v>113</v>
      </c>
      <c r="D239" s="373" t="s">
        <v>255</v>
      </c>
      <c r="E239" s="373">
        <v>19</v>
      </c>
      <c r="F239" s="379">
        <v>630</v>
      </c>
      <c r="G239" s="379">
        <v>242</v>
      </c>
      <c r="H239" s="2377">
        <f t="shared" si="26"/>
        <v>0</v>
      </c>
      <c r="I239" s="2378">
        <v>0</v>
      </c>
      <c r="J239" s="2378">
        <f>125+125-250</f>
        <v>0</v>
      </c>
      <c r="K239" s="2377">
        <v>0</v>
      </c>
      <c r="L239" s="2377">
        <v>0</v>
      </c>
      <c r="M239" s="912"/>
      <c r="N239" s="912"/>
    </row>
    <row r="240" spans="1:14" ht="27" customHeight="1">
      <c r="A240" s="385" t="s">
        <v>1330</v>
      </c>
      <c r="B240" s="137">
        <v>968</v>
      </c>
      <c r="C240" s="137">
        <v>113</v>
      </c>
      <c r="D240" s="137" t="str">
        <f>D242</f>
        <v>092 02 00</v>
      </c>
      <c r="E240" s="137"/>
      <c r="F240" s="1160"/>
      <c r="G240" s="380"/>
      <c r="H240" s="726">
        <f t="shared" si="26"/>
        <v>400</v>
      </c>
      <c r="I240" s="853">
        <f aca="true" t="shared" si="27" ref="I240:L241">I241</f>
        <v>0</v>
      </c>
      <c r="J240" s="853">
        <f t="shared" si="27"/>
        <v>200</v>
      </c>
      <c r="K240" s="853">
        <f t="shared" si="27"/>
        <v>100</v>
      </c>
      <c r="L240" s="726">
        <f t="shared" si="27"/>
        <v>100</v>
      </c>
      <c r="M240" s="912"/>
      <c r="N240" s="912"/>
    </row>
    <row r="241" spans="1:14" ht="14.25" customHeight="1">
      <c r="A241" s="385" t="s">
        <v>1186</v>
      </c>
      <c r="B241" s="1168">
        <v>968</v>
      </c>
      <c r="C241" s="1168">
        <v>113</v>
      </c>
      <c r="D241" s="1168" t="str">
        <f>D242</f>
        <v>092 02 00</v>
      </c>
      <c r="E241" s="1168">
        <v>500</v>
      </c>
      <c r="F241" s="1162">
        <v>200</v>
      </c>
      <c r="G241" s="380"/>
      <c r="H241" s="726">
        <f>SUM(I241:L241)</f>
        <v>400</v>
      </c>
      <c r="I241" s="853">
        <f t="shared" si="27"/>
        <v>0</v>
      </c>
      <c r="J241" s="853">
        <f t="shared" si="27"/>
        <v>200</v>
      </c>
      <c r="K241" s="853">
        <f t="shared" si="27"/>
        <v>100</v>
      </c>
      <c r="L241" s="726">
        <f t="shared" si="27"/>
        <v>100</v>
      </c>
      <c r="M241" s="912"/>
      <c r="N241" s="912"/>
    </row>
    <row r="242" spans="1:14" ht="15" customHeight="1">
      <c r="A242" s="1161" t="s">
        <v>1063</v>
      </c>
      <c r="B242" s="1168">
        <v>968</v>
      </c>
      <c r="C242" s="1168">
        <v>113</v>
      </c>
      <c r="D242" s="1168" t="str">
        <f>D243</f>
        <v>092 02 00</v>
      </c>
      <c r="E242" s="1168">
        <v>500</v>
      </c>
      <c r="F242" s="1162">
        <v>244</v>
      </c>
      <c r="G242" s="1162"/>
      <c r="H242" s="1169">
        <f t="shared" si="26"/>
        <v>400</v>
      </c>
      <c r="I242" s="1170">
        <f aca="true" t="shared" si="28" ref="I242:L243">I243</f>
        <v>0</v>
      </c>
      <c r="J242" s="1170">
        <f>J243</f>
        <v>200</v>
      </c>
      <c r="K242" s="1169">
        <f>K243</f>
        <v>100</v>
      </c>
      <c r="L242" s="1169">
        <f t="shared" si="28"/>
        <v>100</v>
      </c>
      <c r="M242" s="912"/>
      <c r="N242" s="912"/>
    </row>
    <row r="243" spans="1:14" ht="16.5" customHeight="1">
      <c r="A243" s="363" t="s">
        <v>350</v>
      </c>
      <c r="B243" s="127">
        <v>968</v>
      </c>
      <c r="C243" s="127">
        <v>113</v>
      </c>
      <c r="D243" s="127" t="str">
        <f>D244</f>
        <v>092 02 00</v>
      </c>
      <c r="E243" s="127">
        <v>500</v>
      </c>
      <c r="F243" s="377">
        <v>244</v>
      </c>
      <c r="G243" s="377">
        <v>200</v>
      </c>
      <c r="H243" s="1685">
        <f t="shared" si="26"/>
        <v>400</v>
      </c>
      <c r="I243" s="1686">
        <f t="shared" si="28"/>
        <v>0</v>
      </c>
      <c r="J243" s="1686">
        <f>J244</f>
        <v>200</v>
      </c>
      <c r="K243" s="1685">
        <f>K244</f>
        <v>100</v>
      </c>
      <c r="L243" s="1685">
        <f t="shared" si="28"/>
        <v>100</v>
      </c>
      <c r="M243" s="912"/>
      <c r="N243" s="912"/>
    </row>
    <row r="244" spans="1:14" ht="13.5" customHeight="1">
      <c r="A244" s="366" t="s">
        <v>353</v>
      </c>
      <c r="B244" s="373">
        <v>968</v>
      </c>
      <c r="C244" s="373">
        <v>113</v>
      </c>
      <c r="D244" s="373" t="s">
        <v>571</v>
      </c>
      <c r="E244" s="373">
        <v>500</v>
      </c>
      <c r="F244" s="379">
        <v>244</v>
      </c>
      <c r="G244" s="379">
        <v>226</v>
      </c>
      <c r="H244" s="1683">
        <f t="shared" si="26"/>
        <v>400</v>
      </c>
      <c r="I244" s="1684">
        <f>100-100</f>
        <v>0</v>
      </c>
      <c r="J244" s="1684">
        <f>100+100</f>
        <v>200</v>
      </c>
      <c r="K244" s="1683">
        <v>100</v>
      </c>
      <c r="L244" s="1683">
        <v>100</v>
      </c>
      <c r="M244" s="912"/>
      <c r="N244" s="912"/>
    </row>
    <row r="245" spans="1:14" ht="13.5" customHeight="1">
      <c r="A245" s="385" t="s">
        <v>1008</v>
      </c>
      <c r="B245" s="137">
        <v>968</v>
      </c>
      <c r="C245" s="137">
        <v>113</v>
      </c>
      <c r="D245" s="137" t="str">
        <f>D247</f>
        <v>092 05 00</v>
      </c>
      <c r="E245" s="137"/>
      <c r="F245" s="380"/>
      <c r="G245" s="380"/>
      <c r="H245" s="726">
        <f>H247</f>
        <v>72</v>
      </c>
      <c r="I245" s="853">
        <f aca="true" t="shared" si="29" ref="I245:L248">I246</f>
        <v>18</v>
      </c>
      <c r="J245" s="853">
        <f t="shared" si="29"/>
        <v>18</v>
      </c>
      <c r="K245" s="853">
        <f t="shared" si="29"/>
        <v>18</v>
      </c>
      <c r="L245" s="726">
        <f t="shared" si="29"/>
        <v>18</v>
      </c>
      <c r="M245" s="912"/>
      <c r="N245" s="912"/>
    </row>
    <row r="246" spans="1:14" ht="13.5" customHeight="1">
      <c r="A246" s="385" t="s">
        <v>1189</v>
      </c>
      <c r="B246" s="1168">
        <v>968</v>
      </c>
      <c r="C246" s="1168">
        <v>113</v>
      </c>
      <c r="D246" s="1168" t="str">
        <f>D247</f>
        <v>092 05 00</v>
      </c>
      <c r="E246" s="1172">
        <v>13</v>
      </c>
      <c r="F246" s="1173">
        <v>800</v>
      </c>
      <c r="G246" s="380"/>
      <c r="H246" s="726">
        <f>SUM(I246:L246)</f>
        <v>72</v>
      </c>
      <c r="I246" s="853">
        <f t="shared" si="29"/>
        <v>18</v>
      </c>
      <c r="J246" s="853">
        <f t="shared" si="29"/>
        <v>18</v>
      </c>
      <c r="K246" s="853">
        <f t="shared" si="29"/>
        <v>18</v>
      </c>
      <c r="L246" s="726">
        <f t="shared" si="29"/>
        <v>18</v>
      </c>
      <c r="M246" s="912"/>
      <c r="N246" s="912"/>
    </row>
    <row r="247" spans="1:14" ht="13.5" customHeight="1">
      <c r="A247" s="1161" t="s">
        <v>1282</v>
      </c>
      <c r="B247" s="1168">
        <v>968</v>
      </c>
      <c r="C247" s="1168">
        <v>113</v>
      </c>
      <c r="D247" s="1168" t="str">
        <f>D248</f>
        <v>092 05 00</v>
      </c>
      <c r="E247" s="1172">
        <v>13</v>
      </c>
      <c r="F247" s="1173">
        <v>853</v>
      </c>
      <c r="G247" s="1162"/>
      <c r="H247" s="1169">
        <f>H248</f>
        <v>72</v>
      </c>
      <c r="I247" s="1170">
        <f t="shared" si="29"/>
        <v>18</v>
      </c>
      <c r="J247" s="1170">
        <f t="shared" si="29"/>
        <v>18</v>
      </c>
      <c r="K247" s="1169">
        <f t="shared" si="29"/>
        <v>18</v>
      </c>
      <c r="L247" s="1169">
        <f t="shared" si="29"/>
        <v>18</v>
      </c>
      <c r="M247" s="912"/>
      <c r="N247" s="912"/>
    </row>
    <row r="248" spans="1:14" ht="13.5" customHeight="1">
      <c r="A248" s="363" t="s">
        <v>350</v>
      </c>
      <c r="B248" s="127">
        <v>968</v>
      </c>
      <c r="C248" s="127">
        <v>113</v>
      </c>
      <c r="D248" s="127" t="str">
        <f>D249</f>
        <v>092 05 00</v>
      </c>
      <c r="E248" s="856">
        <v>13</v>
      </c>
      <c r="F248" s="1155">
        <v>853</v>
      </c>
      <c r="G248" s="377">
        <v>200</v>
      </c>
      <c r="H248" s="1685">
        <f>H249</f>
        <v>72</v>
      </c>
      <c r="I248" s="1686">
        <f t="shared" si="29"/>
        <v>18</v>
      </c>
      <c r="J248" s="1686">
        <f t="shared" si="29"/>
        <v>18</v>
      </c>
      <c r="K248" s="1685">
        <f t="shared" si="29"/>
        <v>18</v>
      </c>
      <c r="L248" s="1685">
        <f t="shared" si="29"/>
        <v>18</v>
      </c>
      <c r="M248" s="912"/>
      <c r="N248" s="912"/>
    </row>
    <row r="249" spans="1:14" ht="13.5" customHeight="1">
      <c r="A249" s="365" t="s">
        <v>259</v>
      </c>
      <c r="B249" s="372">
        <v>968</v>
      </c>
      <c r="C249" s="372">
        <v>113</v>
      </c>
      <c r="D249" s="127" t="s">
        <v>469</v>
      </c>
      <c r="E249" s="857">
        <v>13</v>
      </c>
      <c r="F249" s="1156">
        <v>853</v>
      </c>
      <c r="G249" s="378">
        <v>290</v>
      </c>
      <c r="H249" s="2425">
        <f>SUM(I249:L249)</f>
        <v>72</v>
      </c>
      <c r="I249" s="2424">
        <v>18</v>
      </c>
      <c r="J249" s="2424">
        <v>18</v>
      </c>
      <c r="K249" s="2425">
        <v>18</v>
      </c>
      <c r="L249" s="2425">
        <v>18</v>
      </c>
      <c r="M249" s="912"/>
      <c r="N249" s="912"/>
    </row>
    <row r="250" spans="1:14" ht="48" customHeight="1">
      <c r="A250" s="385" t="s">
        <v>1009</v>
      </c>
      <c r="B250" s="137">
        <v>968</v>
      </c>
      <c r="C250" s="137">
        <v>113</v>
      </c>
      <c r="D250" s="137" t="str">
        <f>D252</f>
        <v>092 06 00</v>
      </c>
      <c r="E250" s="137"/>
      <c r="F250" s="380"/>
      <c r="G250" s="380"/>
      <c r="H250" s="726">
        <f>H252</f>
        <v>333.91999999999996</v>
      </c>
      <c r="I250" s="853">
        <f aca="true" t="shared" si="30" ref="I250:L253">I251</f>
        <v>0</v>
      </c>
      <c r="J250" s="853">
        <f t="shared" si="30"/>
        <v>166.95999999999998</v>
      </c>
      <c r="K250" s="853">
        <f t="shared" si="30"/>
        <v>33.48</v>
      </c>
      <c r="L250" s="726">
        <f t="shared" si="30"/>
        <v>133.48</v>
      </c>
      <c r="M250" s="912"/>
      <c r="N250" s="912"/>
    </row>
    <row r="251" spans="1:14" ht="15" customHeight="1">
      <c r="A251" s="385" t="s">
        <v>1186</v>
      </c>
      <c r="B251" s="1168">
        <v>968</v>
      </c>
      <c r="C251" s="1168">
        <v>113</v>
      </c>
      <c r="D251" s="1168" t="str">
        <f>D252</f>
        <v>092 06 00</v>
      </c>
      <c r="E251" s="1168">
        <v>500</v>
      </c>
      <c r="F251" s="1162">
        <v>200</v>
      </c>
      <c r="G251" s="380"/>
      <c r="H251" s="726">
        <f>SUM(I251:L251)</f>
        <v>333.91999999999996</v>
      </c>
      <c r="I251" s="853">
        <f t="shared" si="30"/>
        <v>0</v>
      </c>
      <c r="J251" s="853">
        <f t="shared" si="30"/>
        <v>166.95999999999998</v>
      </c>
      <c r="K251" s="853">
        <f t="shared" si="30"/>
        <v>33.48</v>
      </c>
      <c r="L251" s="726">
        <f t="shared" si="30"/>
        <v>133.48</v>
      </c>
      <c r="M251" s="912"/>
      <c r="N251" s="912"/>
    </row>
    <row r="252" spans="1:14" ht="12.75" customHeight="1">
      <c r="A252" s="1161" t="s">
        <v>1063</v>
      </c>
      <c r="B252" s="1168">
        <v>968</v>
      </c>
      <c r="C252" s="1168">
        <v>113</v>
      </c>
      <c r="D252" s="1168" t="str">
        <f>D253</f>
        <v>092 06 00</v>
      </c>
      <c r="E252" s="1168">
        <v>500</v>
      </c>
      <c r="F252" s="1162">
        <v>244</v>
      </c>
      <c r="G252" s="1162"/>
      <c r="H252" s="1169">
        <f>H253</f>
        <v>333.91999999999996</v>
      </c>
      <c r="I252" s="1170">
        <f t="shared" si="30"/>
        <v>0</v>
      </c>
      <c r="J252" s="1170">
        <f t="shared" si="30"/>
        <v>166.95999999999998</v>
      </c>
      <c r="K252" s="1169">
        <f t="shared" si="30"/>
        <v>33.48</v>
      </c>
      <c r="L252" s="1169">
        <f t="shared" si="30"/>
        <v>133.48</v>
      </c>
      <c r="M252" s="912"/>
      <c r="N252" s="912"/>
    </row>
    <row r="253" spans="1:14" ht="12.75" customHeight="1">
      <c r="A253" s="363" t="s">
        <v>350</v>
      </c>
      <c r="B253" s="127">
        <v>968</v>
      </c>
      <c r="C253" s="127">
        <v>113</v>
      </c>
      <c r="D253" s="127" t="str">
        <f>D254</f>
        <v>092 06 00</v>
      </c>
      <c r="E253" s="127">
        <v>500</v>
      </c>
      <c r="F253" s="377">
        <v>244</v>
      </c>
      <c r="G253" s="377">
        <v>200</v>
      </c>
      <c r="H253" s="1685">
        <f>H254</f>
        <v>333.91999999999996</v>
      </c>
      <c r="I253" s="1686">
        <f t="shared" si="30"/>
        <v>0</v>
      </c>
      <c r="J253" s="1686">
        <f t="shared" si="30"/>
        <v>166.95999999999998</v>
      </c>
      <c r="K253" s="1685">
        <f t="shared" si="30"/>
        <v>33.48</v>
      </c>
      <c r="L253" s="1685">
        <f t="shared" si="30"/>
        <v>133.48</v>
      </c>
      <c r="M253" s="912"/>
      <c r="N253" s="912"/>
    </row>
    <row r="254" spans="1:14" ht="15.75" customHeight="1">
      <c r="A254" s="636" t="s">
        <v>353</v>
      </c>
      <c r="B254" s="637">
        <v>968</v>
      </c>
      <c r="C254" s="637">
        <v>113</v>
      </c>
      <c r="D254" s="637" t="s">
        <v>1010</v>
      </c>
      <c r="E254" s="637">
        <v>500</v>
      </c>
      <c r="F254" s="638">
        <v>244</v>
      </c>
      <c r="G254" s="638">
        <v>226</v>
      </c>
      <c r="H254" s="2355">
        <f>SUM(I254:L254)</f>
        <v>333.91999999999996</v>
      </c>
      <c r="I254" s="2356">
        <f>33.48-33.48</f>
        <v>0</v>
      </c>
      <c r="J254" s="2356">
        <f>133.48+33.48</f>
        <v>166.95999999999998</v>
      </c>
      <c r="K254" s="2356">
        <v>33.48</v>
      </c>
      <c r="L254" s="2355">
        <v>133.48</v>
      </c>
      <c r="M254" s="912"/>
      <c r="N254" s="912"/>
    </row>
    <row r="255" spans="1:14" ht="15.75" customHeight="1" hidden="1">
      <c r="A255" s="385" t="s">
        <v>1076</v>
      </c>
      <c r="B255" s="137">
        <v>968</v>
      </c>
      <c r="C255" s="137">
        <v>113</v>
      </c>
      <c r="D255" s="137" t="s">
        <v>1075</v>
      </c>
      <c r="E255" s="137"/>
      <c r="F255" s="380"/>
      <c r="G255" s="380"/>
      <c r="H255" s="726">
        <f>H257</f>
        <v>0</v>
      </c>
      <c r="I255" s="853">
        <f aca="true" t="shared" si="31" ref="I255:L258">I256</f>
        <v>0</v>
      </c>
      <c r="J255" s="853">
        <f t="shared" si="31"/>
        <v>0</v>
      </c>
      <c r="K255" s="853">
        <f t="shared" si="31"/>
        <v>0</v>
      </c>
      <c r="L255" s="726">
        <f t="shared" si="31"/>
        <v>0</v>
      </c>
      <c r="M255" s="912"/>
      <c r="N255" s="912"/>
    </row>
    <row r="256" spans="1:14" ht="15.75" customHeight="1" hidden="1">
      <c r="A256" s="385" t="s">
        <v>1186</v>
      </c>
      <c r="B256" s="1168">
        <v>968</v>
      </c>
      <c r="C256" s="1168">
        <v>113</v>
      </c>
      <c r="D256" s="1168" t="s">
        <v>1075</v>
      </c>
      <c r="E256" s="1168">
        <v>500</v>
      </c>
      <c r="F256" s="1162">
        <v>200</v>
      </c>
      <c r="G256" s="380"/>
      <c r="H256" s="726">
        <f>SUM(I256:L256)</f>
        <v>0</v>
      </c>
      <c r="I256" s="853">
        <f t="shared" si="31"/>
        <v>0</v>
      </c>
      <c r="J256" s="853">
        <f t="shared" si="31"/>
        <v>0</v>
      </c>
      <c r="K256" s="853">
        <f t="shared" si="31"/>
        <v>0</v>
      </c>
      <c r="L256" s="726">
        <f t="shared" si="31"/>
        <v>0</v>
      </c>
      <c r="M256" s="912"/>
      <c r="N256" s="912"/>
    </row>
    <row r="257" spans="1:14" ht="27" customHeight="1" hidden="1">
      <c r="A257" s="1161" t="s">
        <v>1080</v>
      </c>
      <c r="B257" s="1168">
        <v>968</v>
      </c>
      <c r="C257" s="1168">
        <v>113</v>
      </c>
      <c r="D257" s="1168" t="s">
        <v>1075</v>
      </c>
      <c r="E257" s="1168">
        <v>500</v>
      </c>
      <c r="F257" s="1162">
        <v>242</v>
      </c>
      <c r="G257" s="1162"/>
      <c r="H257" s="1169">
        <f>H258</f>
        <v>0</v>
      </c>
      <c r="I257" s="1170">
        <f t="shared" si="31"/>
        <v>0</v>
      </c>
      <c r="J257" s="1170">
        <f t="shared" si="31"/>
        <v>0</v>
      </c>
      <c r="K257" s="1169">
        <f t="shared" si="31"/>
        <v>0</v>
      </c>
      <c r="L257" s="1169">
        <f t="shared" si="31"/>
        <v>0</v>
      </c>
      <c r="M257" s="912"/>
      <c r="N257" s="912"/>
    </row>
    <row r="258" spans="1:14" ht="15.75" customHeight="1" hidden="1">
      <c r="A258" s="363" t="s">
        <v>350</v>
      </c>
      <c r="B258" s="127">
        <v>968</v>
      </c>
      <c r="C258" s="127">
        <v>113</v>
      </c>
      <c r="D258" s="127" t="s">
        <v>1075</v>
      </c>
      <c r="E258" s="127">
        <v>500</v>
      </c>
      <c r="F258" s="377">
        <v>242</v>
      </c>
      <c r="G258" s="377">
        <v>200</v>
      </c>
      <c r="H258" s="1685">
        <f>H259</f>
        <v>0</v>
      </c>
      <c r="I258" s="1686">
        <f t="shared" si="31"/>
        <v>0</v>
      </c>
      <c r="J258" s="1686">
        <f t="shared" si="31"/>
        <v>0</v>
      </c>
      <c r="K258" s="1685">
        <f t="shared" si="31"/>
        <v>0</v>
      </c>
      <c r="L258" s="1685">
        <f t="shared" si="31"/>
        <v>0</v>
      </c>
      <c r="M258" s="912"/>
      <c r="N258" s="912"/>
    </row>
    <row r="259" spans="1:14" ht="15.75" customHeight="1" hidden="1">
      <c r="A259" s="636" t="s">
        <v>353</v>
      </c>
      <c r="B259" s="637">
        <v>968</v>
      </c>
      <c r="C259" s="637">
        <v>113</v>
      </c>
      <c r="D259" s="637" t="s">
        <v>1075</v>
      </c>
      <c r="E259" s="637">
        <v>500</v>
      </c>
      <c r="F259" s="638">
        <v>242</v>
      </c>
      <c r="G259" s="638">
        <v>226</v>
      </c>
      <c r="H259" s="2355">
        <f>SUM(I259:L259)</f>
        <v>0</v>
      </c>
      <c r="I259" s="2356">
        <f>65.85-20.85-45</f>
        <v>0</v>
      </c>
      <c r="J259" s="2356">
        <f>65.85-20.85-45</f>
        <v>0</v>
      </c>
      <c r="K259" s="2356">
        <f>65.85-20.85-45</f>
        <v>0</v>
      </c>
      <c r="L259" s="2355">
        <f>65.85-20.85-45</f>
        <v>0</v>
      </c>
      <c r="M259" s="912"/>
      <c r="N259" s="912"/>
    </row>
    <row r="260" spans="1:14" ht="15.75" customHeight="1" hidden="1">
      <c r="A260" s="365" t="s">
        <v>259</v>
      </c>
      <c r="B260" s="637">
        <v>968</v>
      </c>
      <c r="C260" s="637">
        <v>113</v>
      </c>
      <c r="D260" s="637" t="s">
        <v>1081</v>
      </c>
      <c r="E260" s="637">
        <v>500</v>
      </c>
      <c r="F260" s="638">
        <v>244</v>
      </c>
      <c r="G260" s="638">
        <v>290</v>
      </c>
      <c r="H260" s="2379">
        <f>SUM(I260:L260)</f>
        <v>0</v>
      </c>
      <c r="I260" s="2380">
        <v>0</v>
      </c>
      <c r="J260" s="2380">
        <f>600-600</f>
        <v>0</v>
      </c>
      <c r="K260" s="2380">
        <v>0</v>
      </c>
      <c r="L260" s="2379">
        <v>0</v>
      </c>
      <c r="M260" s="912"/>
      <c r="N260" s="912"/>
    </row>
    <row r="261" spans="1:14" ht="15.75" customHeight="1">
      <c r="A261" s="385" t="s">
        <v>1285</v>
      </c>
      <c r="B261" s="137">
        <v>968</v>
      </c>
      <c r="C261" s="137">
        <v>113</v>
      </c>
      <c r="D261" s="137" t="s">
        <v>1286</v>
      </c>
      <c r="E261" s="137"/>
      <c r="F261" s="380"/>
      <c r="G261" s="380"/>
      <c r="H261" s="726">
        <f>H263</f>
        <v>133.92</v>
      </c>
      <c r="I261" s="853">
        <f aca="true" t="shared" si="32" ref="I261:L263">I262</f>
        <v>0</v>
      </c>
      <c r="J261" s="853">
        <f t="shared" si="32"/>
        <v>66.96</v>
      </c>
      <c r="K261" s="853">
        <f t="shared" si="32"/>
        <v>33.48</v>
      </c>
      <c r="L261" s="726">
        <f t="shared" si="32"/>
        <v>33.48</v>
      </c>
      <c r="M261" s="912"/>
      <c r="N261" s="912"/>
    </row>
    <row r="262" spans="1:14" ht="15.75" customHeight="1">
      <c r="A262" s="385" t="s">
        <v>1186</v>
      </c>
      <c r="B262" s="1168">
        <v>968</v>
      </c>
      <c r="C262" s="1168">
        <v>113</v>
      </c>
      <c r="D262" s="1168" t="s">
        <v>1286</v>
      </c>
      <c r="E262" s="1168">
        <v>500</v>
      </c>
      <c r="F262" s="1162">
        <v>200</v>
      </c>
      <c r="G262" s="380"/>
      <c r="H262" s="726">
        <f>SUM(I262:L262)</f>
        <v>133.92</v>
      </c>
      <c r="I262" s="853">
        <f t="shared" si="32"/>
        <v>0</v>
      </c>
      <c r="J262" s="853">
        <f t="shared" si="32"/>
        <v>66.96</v>
      </c>
      <c r="K262" s="853">
        <f t="shared" si="32"/>
        <v>33.48</v>
      </c>
      <c r="L262" s="726">
        <f t="shared" si="32"/>
        <v>33.48</v>
      </c>
      <c r="M262" s="912"/>
      <c r="N262" s="912"/>
    </row>
    <row r="263" spans="1:14" ht="15.75" customHeight="1">
      <c r="A263" s="1161" t="s">
        <v>1063</v>
      </c>
      <c r="B263" s="1168">
        <v>968</v>
      </c>
      <c r="C263" s="1168">
        <v>113</v>
      </c>
      <c r="D263" s="1168" t="s">
        <v>1286</v>
      </c>
      <c r="E263" s="1168">
        <v>500</v>
      </c>
      <c r="F263" s="1162">
        <v>244</v>
      </c>
      <c r="G263" s="1162"/>
      <c r="H263" s="1169">
        <f>H264</f>
        <v>133.92</v>
      </c>
      <c r="I263" s="1170">
        <f t="shared" si="32"/>
        <v>0</v>
      </c>
      <c r="J263" s="1170">
        <f t="shared" si="32"/>
        <v>66.96</v>
      </c>
      <c r="K263" s="1169">
        <f t="shared" si="32"/>
        <v>33.48</v>
      </c>
      <c r="L263" s="1169">
        <f t="shared" si="32"/>
        <v>33.48</v>
      </c>
      <c r="M263" s="912"/>
      <c r="N263" s="912"/>
    </row>
    <row r="264" spans="1:14" ht="15.75" customHeight="1">
      <c r="A264" s="363" t="s">
        <v>350</v>
      </c>
      <c r="B264" s="127">
        <v>968</v>
      </c>
      <c r="C264" s="127">
        <v>113</v>
      </c>
      <c r="D264" s="127" t="s">
        <v>1286</v>
      </c>
      <c r="E264" s="127">
        <v>500</v>
      </c>
      <c r="F264" s="377">
        <v>244</v>
      </c>
      <c r="G264" s="377">
        <v>200</v>
      </c>
      <c r="H264" s="1685">
        <f>SUM(I264:L264)</f>
        <v>133.92</v>
      </c>
      <c r="I264" s="1686">
        <f>SUM(I265:I265)</f>
        <v>0</v>
      </c>
      <c r="J264" s="1686">
        <f>SUM(J265:J265)</f>
        <v>66.96</v>
      </c>
      <c r="K264" s="1686">
        <f>SUM(K265:K265)</f>
        <v>33.48</v>
      </c>
      <c r="L264" s="1686">
        <f>SUM(L265:L265)</f>
        <v>33.48</v>
      </c>
      <c r="M264" s="912"/>
      <c r="N264" s="912"/>
    </row>
    <row r="265" spans="1:14" ht="15.75" customHeight="1">
      <c r="A265" s="636" t="s">
        <v>353</v>
      </c>
      <c r="B265" s="637">
        <v>968</v>
      </c>
      <c r="C265" s="637">
        <v>113</v>
      </c>
      <c r="D265" s="637" t="s">
        <v>1286</v>
      </c>
      <c r="E265" s="637">
        <v>500</v>
      </c>
      <c r="F265" s="638">
        <v>244</v>
      </c>
      <c r="G265" s="638">
        <v>226</v>
      </c>
      <c r="H265" s="2355">
        <f>SUM(I265:L265)</f>
        <v>133.92</v>
      </c>
      <c r="I265" s="2356">
        <f>33.48-33.48</f>
        <v>0</v>
      </c>
      <c r="J265" s="2356">
        <f>33.48+33.48</f>
        <v>66.96</v>
      </c>
      <c r="K265" s="2356">
        <v>33.48</v>
      </c>
      <c r="L265" s="2355">
        <v>33.48</v>
      </c>
      <c r="M265" s="912"/>
      <c r="N265" s="912"/>
    </row>
    <row r="266" spans="1:14" ht="24.75" customHeight="1">
      <c r="A266" s="385" t="s">
        <v>1398</v>
      </c>
      <c r="B266" s="137">
        <v>968</v>
      </c>
      <c r="C266" s="137">
        <v>113</v>
      </c>
      <c r="D266" s="137" t="str">
        <f>D268</f>
        <v>795 02 00</v>
      </c>
      <c r="E266" s="639"/>
      <c r="F266" s="1157"/>
      <c r="G266" s="389"/>
      <c r="H266" s="726">
        <f>H268</f>
        <v>90</v>
      </c>
      <c r="I266" s="853">
        <f aca="true" t="shared" si="33" ref="I266:L268">I267</f>
        <v>10.99</v>
      </c>
      <c r="J266" s="853">
        <f t="shared" si="33"/>
        <v>45</v>
      </c>
      <c r="K266" s="853">
        <f t="shared" si="33"/>
        <v>15</v>
      </c>
      <c r="L266" s="726">
        <f t="shared" si="33"/>
        <v>19.009999999999998</v>
      </c>
      <c r="M266" s="912"/>
      <c r="N266" s="912"/>
    </row>
    <row r="267" spans="1:14" ht="15" customHeight="1">
      <c r="A267" s="385" t="s">
        <v>1186</v>
      </c>
      <c r="B267" s="1701">
        <v>968</v>
      </c>
      <c r="C267" s="1701">
        <v>113</v>
      </c>
      <c r="D267" s="1701" t="str">
        <f>D268</f>
        <v>795 02 00</v>
      </c>
      <c r="E267" s="1701">
        <v>500</v>
      </c>
      <c r="F267" s="1702">
        <v>200</v>
      </c>
      <c r="G267" s="389"/>
      <c r="H267" s="726">
        <f>SUM(I267:L267)</f>
        <v>90</v>
      </c>
      <c r="I267" s="853">
        <f t="shared" si="33"/>
        <v>10.99</v>
      </c>
      <c r="J267" s="853">
        <f t="shared" si="33"/>
        <v>45</v>
      </c>
      <c r="K267" s="853">
        <f t="shared" si="33"/>
        <v>15</v>
      </c>
      <c r="L267" s="726">
        <f t="shared" si="33"/>
        <v>19.009999999999998</v>
      </c>
      <c r="M267" s="912"/>
      <c r="N267" s="912"/>
    </row>
    <row r="268" spans="1:14" ht="15.75" customHeight="1">
      <c r="A268" s="1954" t="s">
        <v>1063</v>
      </c>
      <c r="B268" s="1701">
        <v>968</v>
      </c>
      <c r="C268" s="1701">
        <v>113</v>
      </c>
      <c r="D268" s="1701" t="str">
        <f>D269</f>
        <v>795 02 00</v>
      </c>
      <c r="E268" s="1701">
        <v>500</v>
      </c>
      <c r="F268" s="1702">
        <v>244</v>
      </c>
      <c r="G268" s="1702"/>
      <c r="H268" s="1169">
        <f>H269</f>
        <v>90</v>
      </c>
      <c r="I268" s="1170">
        <f t="shared" si="33"/>
        <v>10.99</v>
      </c>
      <c r="J268" s="1170">
        <f t="shared" si="33"/>
        <v>45</v>
      </c>
      <c r="K268" s="1169">
        <f t="shared" si="33"/>
        <v>15</v>
      </c>
      <c r="L268" s="1169">
        <f t="shared" si="33"/>
        <v>19.009999999999998</v>
      </c>
      <c r="M268" s="912"/>
      <c r="N268" s="912"/>
    </row>
    <row r="269" spans="1:14" ht="15.75" customHeight="1">
      <c r="A269" s="2360" t="s">
        <v>350</v>
      </c>
      <c r="B269" s="2361">
        <v>968</v>
      </c>
      <c r="C269" s="2361">
        <v>113</v>
      </c>
      <c r="D269" s="2361" t="str">
        <f>D270</f>
        <v>795 02 00</v>
      </c>
      <c r="E269" s="2361">
        <v>500</v>
      </c>
      <c r="F269" s="652">
        <v>244</v>
      </c>
      <c r="G269" s="652">
        <v>200</v>
      </c>
      <c r="H269" s="1685">
        <f aca="true" t="shared" si="34" ref="H269:H280">SUM(I269:L269)</f>
        <v>90</v>
      </c>
      <c r="I269" s="1685">
        <f>SUM(I271:I272)</f>
        <v>10.99</v>
      </c>
      <c r="J269" s="1685">
        <f>SUM(J271:J272)</f>
        <v>45</v>
      </c>
      <c r="K269" s="1685">
        <f>SUM(K271:K272)</f>
        <v>15</v>
      </c>
      <c r="L269" s="1685">
        <f>SUM(L271:L272)</f>
        <v>19.009999999999998</v>
      </c>
      <c r="M269" s="912"/>
      <c r="N269" s="912"/>
    </row>
    <row r="270" spans="1:14" ht="15.75" customHeight="1" hidden="1">
      <c r="A270" s="366" t="s">
        <v>120</v>
      </c>
      <c r="B270" s="373">
        <v>968</v>
      </c>
      <c r="C270" s="373">
        <v>113</v>
      </c>
      <c r="D270" s="373" t="str">
        <f>D271</f>
        <v>795 02 00</v>
      </c>
      <c r="E270" s="373">
        <v>500</v>
      </c>
      <c r="F270" s="379">
        <v>244</v>
      </c>
      <c r="G270" s="379">
        <v>222</v>
      </c>
      <c r="H270" s="1685">
        <f t="shared" si="34"/>
        <v>0</v>
      </c>
      <c r="I270" s="1686">
        <v>0</v>
      </c>
      <c r="J270" s="1686">
        <f>40-40</f>
        <v>0</v>
      </c>
      <c r="K270" s="1685">
        <v>0</v>
      </c>
      <c r="L270" s="1685">
        <v>0</v>
      </c>
      <c r="M270" s="912"/>
      <c r="N270" s="912"/>
    </row>
    <row r="271" spans="1:14" ht="15.75" customHeight="1">
      <c r="A271" s="366" t="s">
        <v>353</v>
      </c>
      <c r="B271" s="373">
        <v>968</v>
      </c>
      <c r="C271" s="373">
        <v>113</v>
      </c>
      <c r="D271" s="373" t="s">
        <v>1013</v>
      </c>
      <c r="E271" s="373">
        <v>500</v>
      </c>
      <c r="F271" s="379">
        <v>244</v>
      </c>
      <c r="G271" s="379">
        <v>226</v>
      </c>
      <c r="H271" s="1683">
        <f t="shared" si="34"/>
        <v>60</v>
      </c>
      <c r="I271" s="1684">
        <f>15-4.01</f>
        <v>10.99</v>
      </c>
      <c r="J271" s="1684">
        <v>15</v>
      </c>
      <c r="K271" s="1683">
        <v>15</v>
      </c>
      <c r="L271" s="1683">
        <f>15+4.01</f>
        <v>19.009999999999998</v>
      </c>
      <c r="M271" s="912"/>
      <c r="N271" s="912"/>
    </row>
    <row r="272" spans="1:14" ht="15.75" customHeight="1">
      <c r="A272" s="365" t="s">
        <v>259</v>
      </c>
      <c r="B272" s="373">
        <v>968</v>
      </c>
      <c r="C272" s="373">
        <v>113</v>
      </c>
      <c r="D272" s="373" t="s">
        <v>1013</v>
      </c>
      <c r="E272" s="373">
        <v>500</v>
      </c>
      <c r="F272" s="379">
        <v>244</v>
      </c>
      <c r="G272" s="1662">
        <v>290</v>
      </c>
      <c r="H272" s="2414">
        <f t="shared" si="34"/>
        <v>30</v>
      </c>
      <c r="I272" s="2415">
        <f>30-30</f>
        <v>0</v>
      </c>
      <c r="J272" s="2415">
        <f>30</f>
        <v>30</v>
      </c>
      <c r="K272" s="2414">
        <v>0</v>
      </c>
      <c r="L272" s="2414">
        <f>30-30</f>
        <v>0</v>
      </c>
      <c r="M272" s="912"/>
      <c r="N272" s="912"/>
    </row>
    <row r="273" spans="1:14" ht="54.75" customHeight="1">
      <c r="A273" s="385" t="s">
        <v>1388</v>
      </c>
      <c r="B273" s="137">
        <v>968</v>
      </c>
      <c r="C273" s="137">
        <v>113</v>
      </c>
      <c r="D273" s="137" t="s">
        <v>1292</v>
      </c>
      <c r="E273" s="639"/>
      <c r="F273" s="1157"/>
      <c r="G273" s="389"/>
      <c r="H273" s="726">
        <f>H275</f>
        <v>136.5</v>
      </c>
      <c r="I273" s="853">
        <f aca="true" t="shared" si="35" ref="I273:L275">I274</f>
        <v>10.989999999999995</v>
      </c>
      <c r="J273" s="853">
        <f t="shared" si="35"/>
        <v>91.5</v>
      </c>
      <c r="K273" s="853">
        <f t="shared" si="35"/>
        <v>15</v>
      </c>
      <c r="L273" s="726">
        <f t="shared" si="35"/>
        <v>19.009999999999998</v>
      </c>
      <c r="M273" s="912"/>
      <c r="N273" s="912"/>
    </row>
    <row r="274" spans="1:14" ht="15.75" customHeight="1">
      <c r="A274" s="385" t="s">
        <v>1186</v>
      </c>
      <c r="B274" s="1701">
        <v>968</v>
      </c>
      <c r="C274" s="1701">
        <v>113</v>
      </c>
      <c r="D274" s="1701" t="s">
        <v>1292</v>
      </c>
      <c r="E274" s="1701">
        <v>500</v>
      </c>
      <c r="F274" s="1702">
        <v>200</v>
      </c>
      <c r="G274" s="389"/>
      <c r="H274" s="726">
        <f>SUM(I274:L274)</f>
        <v>136.5</v>
      </c>
      <c r="I274" s="853">
        <f t="shared" si="35"/>
        <v>10.989999999999995</v>
      </c>
      <c r="J274" s="853">
        <f t="shared" si="35"/>
        <v>91.5</v>
      </c>
      <c r="K274" s="853">
        <f t="shared" si="35"/>
        <v>15</v>
      </c>
      <c r="L274" s="726">
        <f t="shared" si="35"/>
        <v>19.009999999999998</v>
      </c>
      <c r="M274" s="912"/>
      <c r="N274" s="912"/>
    </row>
    <row r="275" spans="1:14" ht="15.75" customHeight="1">
      <c r="A275" s="1954" t="s">
        <v>1063</v>
      </c>
      <c r="B275" s="1701">
        <v>968</v>
      </c>
      <c r="C275" s="1701">
        <v>113</v>
      </c>
      <c r="D275" s="1701" t="s">
        <v>1292</v>
      </c>
      <c r="E275" s="1701">
        <v>500</v>
      </c>
      <c r="F275" s="1702">
        <v>244</v>
      </c>
      <c r="G275" s="1702"/>
      <c r="H275" s="1169">
        <f>H276</f>
        <v>136.5</v>
      </c>
      <c r="I275" s="1170">
        <f t="shared" si="35"/>
        <v>10.989999999999995</v>
      </c>
      <c r="J275" s="1170">
        <f t="shared" si="35"/>
        <v>91.5</v>
      </c>
      <c r="K275" s="1169">
        <f t="shared" si="35"/>
        <v>15</v>
      </c>
      <c r="L275" s="1169">
        <f t="shared" si="35"/>
        <v>19.009999999999998</v>
      </c>
      <c r="M275" s="912"/>
      <c r="N275" s="912"/>
    </row>
    <row r="276" spans="1:14" ht="15.75" customHeight="1">
      <c r="A276" s="2360" t="s">
        <v>350</v>
      </c>
      <c r="B276" s="2361">
        <v>968</v>
      </c>
      <c r="C276" s="2361">
        <v>113</v>
      </c>
      <c r="D276" s="2361" t="s">
        <v>1292</v>
      </c>
      <c r="E276" s="2361">
        <v>500</v>
      </c>
      <c r="F276" s="652">
        <v>244</v>
      </c>
      <c r="G276" s="652">
        <v>200</v>
      </c>
      <c r="H276" s="1685">
        <f>SUM(I276:L276)</f>
        <v>136.5</v>
      </c>
      <c r="I276" s="1685">
        <f>SUM(I277:I278)</f>
        <v>10.989999999999995</v>
      </c>
      <c r="J276" s="1685">
        <f>SUM(J277:J278)</f>
        <v>91.5</v>
      </c>
      <c r="K276" s="1685">
        <f>SUM(K277:K278)</f>
        <v>15</v>
      </c>
      <c r="L276" s="1685">
        <f>SUM(L277:L278)</f>
        <v>19.009999999999998</v>
      </c>
      <c r="M276" s="912"/>
      <c r="N276" s="912"/>
    </row>
    <row r="277" spans="1:14" ht="15.75" customHeight="1" thickBot="1">
      <c r="A277" s="366" t="s">
        <v>353</v>
      </c>
      <c r="B277" s="373">
        <v>968</v>
      </c>
      <c r="C277" s="373">
        <v>113</v>
      </c>
      <c r="D277" s="373" t="s">
        <v>1292</v>
      </c>
      <c r="E277" s="373">
        <v>500</v>
      </c>
      <c r="F277" s="379">
        <v>244</v>
      </c>
      <c r="G277" s="379">
        <v>226</v>
      </c>
      <c r="H277" s="1685">
        <f>SUM(I277:L277)</f>
        <v>136.5</v>
      </c>
      <c r="I277" s="1686">
        <f>91.5-80.51</f>
        <v>10.989999999999995</v>
      </c>
      <c r="J277" s="1686">
        <f>15+76.5</f>
        <v>91.5</v>
      </c>
      <c r="K277" s="1685">
        <v>15</v>
      </c>
      <c r="L277" s="1685">
        <f>15+4.01</f>
        <v>19.009999999999998</v>
      </c>
      <c r="M277" s="912"/>
      <c r="N277" s="912"/>
    </row>
    <row r="278" spans="1:14" ht="15.75" customHeight="1" hidden="1" thickBot="1">
      <c r="A278" s="365" t="s">
        <v>259</v>
      </c>
      <c r="B278" s="373">
        <v>968</v>
      </c>
      <c r="C278" s="373">
        <v>113</v>
      </c>
      <c r="D278" s="373" t="s">
        <v>1292</v>
      </c>
      <c r="E278" s="373">
        <v>500</v>
      </c>
      <c r="F278" s="379">
        <v>244</v>
      </c>
      <c r="G278" s="1662">
        <v>290</v>
      </c>
      <c r="H278" s="2381">
        <f>SUM(I278:L278)</f>
        <v>0</v>
      </c>
      <c r="I278" s="2382">
        <v>0</v>
      </c>
      <c r="J278" s="2382">
        <v>0</v>
      </c>
      <c r="K278" s="2381">
        <v>0</v>
      </c>
      <c r="L278" s="2381">
        <f>30-30</f>
        <v>0</v>
      </c>
      <c r="M278" s="912"/>
      <c r="N278" s="912"/>
    </row>
    <row r="279" spans="1:14" ht="24.75" customHeight="1" thickBot="1">
      <c r="A279" s="644" t="s">
        <v>262</v>
      </c>
      <c r="B279" s="645">
        <v>968</v>
      </c>
      <c r="C279" s="645">
        <v>300</v>
      </c>
      <c r="D279" s="645"/>
      <c r="E279" s="645"/>
      <c r="F279" s="646"/>
      <c r="G279" s="646"/>
      <c r="H279" s="2423">
        <f t="shared" si="34"/>
        <v>276.351</v>
      </c>
      <c r="I279" s="2423">
        <f>I280</f>
        <v>53.755</v>
      </c>
      <c r="J279" s="2423">
        <f>J280</f>
        <v>121.774</v>
      </c>
      <c r="K279" s="2423">
        <f>K280</f>
        <v>33</v>
      </c>
      <c r="L279" s="2423">
        <f>L280</f>
        <v>67.822</v>
      </c>
      <c r="M279" s="912"/>
      <c r="N279" s="912"/>
    </row>
    <row r="280" spans="1:14" ht="33" customHeight="1">
      <c r="A280" s="716" t="s">
        <v>923</v>
      </c>
      <c r="B280" s="641">
        <v>968</v>
      </c>
      <c r="C280" s="641">
        <v>309</v>
      </c>
      <c r="D280" s="641"/>
      <c r="E280" s="641"/>
      <c r="F280" s="642"/>
      <c r="G280" s="642"/>
      <c r="H280" s="2420">
        <f t="shared" si="34"/>
        <v>276.351</v>
      </c>
      <c r="I280" s="2419">
        <f>I281+I302</f>
        <v>53.755</v>
      </c>
      <c r="J280" s="2419">
        <f>J281+J302</f>
        <v>121.774</v>
      </c>
      <c r="K280" s="2419">
        <f>K281+K302</f>
        <v>33</v>
      </c>
      <c r="L280" s="2419">
        <f>L281+L302</f>
        <v>67.822</v>
      </c>
      <c r="M280" s="912"/>
      <c r="N280" s="912"/>
    </row>
    <row r="281" spans="1:14" ht="80.25" customHeight="1">
      <c r="A281" s="1650" t="s">
        <v>1389</v>
      </c>
      <c r="B281" s="130">
        <v>968</v>
      </c>
      <c r="C281" s="130">
        <v>309</v>
      </c>
      <c r="D281" s="130" t="s">
        <v>1291</v>
      </c>
      <c r="E281" s="130"/>
      <c r="F281" s="387"/>
      <c r="G281" s="387"/>
      <c r="H281" s="715">
        <f>H283</f>
        <v>151.351</v>
      </c>
      <c r="I281" s="1951">
        <f aca="true" t="shared" si="36" ref="I281:L282">I282</f>
        <v>42.765</v>
      </c>
      <c r="J281" s="1951">
        <f t="shared" si="36"/>
        <v>46.774</v>
      </c>
      <c r="K281" s="1951">
        <f t="shared" si="36"/>
        <v>15</v>
      </c>
      <c r="L281" s="715">
        <f t="shared" si="36"/>
        <v>46.812</v>
      </c>
      <c r="M281" s="912"/>
      <c r="N281" s="912"/>
    </row>
    <row r="282" spans="1:14" ht="18" customHeight="1">
      <c r="A282" s="385" t="s">
        <v>1186</v>
      </c>
      <c r="B282" s="1701">
        <v>968</v>
      </c>
      <c r="C282" s="1701">
        <v>309</v>
      </c>
      <c r="D282" s="1701" t="s">
        <v>1291</v>
      </c>
      <c r="E282" s="1701">
        <v>500</v>
      </c>
      <c r="F282" s="1702">
        <v>200</v>
      </c>
      <c r="G282" s="387"/>
      <c r="H282" s="715">
        <f>SUM(I282:L282)</f>
        <v>151.351</v>
      </c>
      <c r="I282" s="1951">
        <f t="shared" si="36"/>
        <v>42.765</v>
      </c>
      <c r="J282" s="1951">
        <f t="shared" si="36"/>
        <v>46.774</v>
      </c>
      <c r="K282" s="1951">
        <f t="shared" si="36"/>
        <v>15</v>
      </c>
      <c r="L282" s="715">
        <f t="shared" si="36"/>
        <v>46.812</v>
      </c>
      <c r="M282" s="912"/>
      <c r="N282" s="912"/>
    </row>
    <row r="283" spans="1:14" ht="12.75">
      <c r="A283" s="1161" t="s">
        <v>1063</v>
      </c>
      <c r="B283" s="1168">
        <v>968</v>
      </c>
      <c r="C283" s="1168">
        <v>309</v>
      </c>
      <c r="D283" s="1168" t="s">
        <v>1291</v>
      </c>
      <c r="E283" s="1168">
        <v>500</v>
      </c>
      <c r="F283" s="1162">
        <v>244</v>
      </c>
      <c r="G283" s="1162"/>
      <c r="H283" s="1169">
        <f>H284+H286</f>
        <v>151.351</v>
      </c>
      <c r="I283" s="1170">
        <f>I284+I286</f>
        <v>42.765</v>
      </c>
      <c r="J283" s="1170">
        <f>J284+J286</f>
        <v>46.774</v>
      </c>
      <c r="K283" s="1169">
        <f>K284+K286</f>
        <v>15</v>
      </c>
      <c r="L283" s="1169">
        <f>L284+L286</f>
        <v>46.812</v>
      </c>
      <c r="M283" s="912"/>
      <c r="N283" s="912"/>
    </row>
    <row r="284" spans="1:14" ht="12.75">
      <c r="A284" s="364" t="s">
        <v>350</v>
      </c>
      <c r="B284" s="131">
        <v>968</v>
      </c>
      <c r="C284" s="131">
        <v>309</v>
      </c>
      <c r="D284" s="131" t="s">
        <v>1291</v>
      </c>
      <c r="E284" s="131">
        <v>500</v>
      </c>
      <c r="F284" s="337">
        <v>244</v>
      </c>
      <c r="G284" s="337">
        <v>200</v>
      </c>
      <c r="H284" s="2358">
        <f>H285</f>
        <v>151.351</v>
      </c>
      <c r="I284" s="2359">
        <f>I285</f>
        <v>42.765</v>
      </c>
      <c r="J284" s="2359">
        <f>J285</f>
        <v>46.774</v>
      </c>
      <c r="K284" s="2358">
        <f>K285</f>
        <v>15</v>
      </c>
      <c r="L284" s="2358">
        <f>L285</f>
        <v>46.812</v>
      </c>
      <c r="M284" s="912"/>
      <c r="N284" s="912"/>
    </row>
    <row r="285" spans="1:14" ht="12.75">
      <c r="A285" s="366" t="s">
        <v>353</v>
      </c>
      <c r="B285" s="373">
        <v>968</v>
      </c>
      <c r="C285" s="373">
        <v>309</v>
      </c>
      <c r="D285" s="373" t="s">
        <v>1291</v>
      </c>
      <c r="E285" s="373">
        <v>500</v>
      </c>
      <c r="F285" s="379">
        <v>244</v>
      </c>
      <c r="G285" s="379">
        <v>226</v>
      </c>
      <c r="H285" s="1683">
        <f>SUM(I285:L285)</f>
        <v>151.351</v>
      </c>
      <c r="I285" s="1684">
        <f>46.775-4.01</f>
        <v>42.765</v>
      </c>
      <c r="J285" s="1684">
        <v>46.774</v>
      </c>
      <c r="K285" s="1683">
        <v>15</v>
      </c>
      <c r="L285" s="1683">
        <f>42.802+4.01</f>
        <v>46.812</v>
      </c>
      <c r="M285" s="912"/>
      <c r="N285" s="912"/>
    </row>
    <row r="286" spans="1:14" ht="12.75" hidden="1">
      <c r="A286" s="363" t="s">
        <v>354</v>
      </c>
      <c r="B286" s="639">
        <v>968</v>
      </c>
      <c r="C286" s="639">
        <v>309</v>
      </c>
      <c r="D286" s="639" t="s">
        <v>499</v>
      </c>
      <c r="E286" s="639">
        <v>500</v>
      </c>
      <c r="F286" s="1157"/>
      <c r="G286" s="652">
        <v>300</v>
      </c>
      <c r="H286" s="2375">
        <f>SUM(H287:H288)</f>
        <v>0</v>
      </c>
      <c r="I286" s="2376">
        <f>SUM(I287:I288)</f>
        <v>0</v>
      </c>
      <c r="J286" s="2376">
        <f>SUM(J287:J288)</f>
        <v>0</v>
      </c>
      <c r="K286" s="2376">
        <f>SUM(K287:K288)</f>
        <v>0</v>
      </c>
      <c r="L286" s="2375">
        <f>SUM(L287:L288)</f>
        <v>0</v>
      </c>
      <c r="M286" s="912"/>
      <c r="N286" s="912"/>
    </row>
    <row r="287" spans="1:14" ht="12.75" hidden="1">
      <c r="A287" s="366" t="s">
        <v>260</v>
      </c>
      <c r="B287" s="373">
        <v>968</v>
      </c>
      <c r="C287" s="373">
        <v>309</v>
      </c>
      <c r="D287" s="373" t="s">
        <v>499</v>
      </c>
      <c r="E287" s="373">
        <v>500</v>
      </c>
      <c r="F287" s="379"/>
      <c r="G287" s="379">
        <v>310</v>
      </c>
      <c r="H287" s="2377">
        <f>SUM(I287:L287)</f>
        <v>0</v>
      </c>
      <c r="I287" s="2378">
        <v>0</v>
      </c>
      <c r="J287" s="2378">
        <v>0</v>
      </c>
      <c r="K287" s="2377">
        <v>0</v>
      </c>
      <c r="L287" s="2377">
        <v>0</v>
      </c>
      <c r="M287" s="912"/>
      <c r="N287" s="912"/>
    </row>
    <row r="288" spans="1:14" ht="12.75" hidden="1">
      <c r="A288" s="366" t="s">
        <v>261</v>
      </c>
      <c r="B288" s="373">
        <v>968</v>
      </c>
      <c r="C288" s="373">
        <v>309</v>
      </c>
      <c r="D288" s="373" t="s">
        <v>499</v>
      </c>
      <c r="E288" s="373">
        <v>500</v>
      </c>
      <c r="F288" s="379"/>
      <c r="G288" s="379">
        <v>340</v>
      </c>
      <c r="H288" s="2377">
        <f>SUM(I288:L288)</f>
        <v>0</v>
      </c>
      <c r="I288" s="2378">
        <v>0</v>
      </c>
      <c r="J288" s="2378">
        <v>0</v>
      </c>
      <c r="K288" s="2377">
        <v>0</v>
      </c>
      <c r="L288" s="2377">
        <v>0</v>
      </c>
      <c r="M288" s="912"/>
      <c r="N288" s="912"/>
    </row>
    <row r="289" spans="1:14" ht="12.75" hidden="1">
      <c r="A289" s="363" t="s">
        <v>354</v>
      </c>
      <c r="B289" s="639">
        <v>968</v>
      </c>
      <c r="C289" s="639">
        <v>309</v>
      </c>
      <c r="D289" s="639" t="str">
        <f>D290</f>
        <v>219 01 00</v>
      </c>
      <c r="E289" s="639">
        <v>500</v>
      </c>
      <c r="F289" s="1157">
        <v>240</v>
      </c>
      <c r="G289" s="652">
        <v>300</v>
      </c>
      <c r="H289" s="2375">
        <f>SUM(H290:H297)</f>
        <v>0</v>
      </c>
      <c r="I289" s="2375">
        <f>SUM(I290:I297)</f>
        <v>0</v>
      </c>
      <c r="J289" s="2376">
        <f>SUM(J290:J297)</f>
        <v>0</v>
      </c>
      <c r="K289" s="2375">
        <f>SUM(K290:K297)</f>
        <v>0</v>
      </c>
      <c r="L289" s="2375">
        <f>SUM(L290:L297)</f>
        <v>0</v>
      </c>
      <c r="M289" s="912"/>
      <c r="N289" s="912"/>
    </row>
    <row r="290" spans="1:14" ht="12.75" hidden="1">
      <c r="A290" s="366" t="s">
        <v>260</v>
      </c>
      <c r="B290" s="373">
        <v>968</v>
      </c>
      <c r="C290" s="639">
        <v>309</v>
      </c>
      <c r="D290" s="639" t="s">
        <v>1022</v>
      </c>
      <c r="E290" s="639">
        <v>500</v>
      </c>
      <c r="F290" s="1157">
        <v>240</v>
      </c>
      <c r="G290" s="379">
        <v>310</v>
      </c>
      <c r="H290" s="2377">
        <f>SUM(I290:L290)</f>
        <v>0</v>
      </c>
      <c r="I290" s="2378">
        <v>0</v>
      </c>
      <c r="J290" s="2378">
        <v>0</v>
      </c>
      <c r="K290" s="2377">
        <v>0</v>
      </c>
      <c r="L290" s="2377">
        <v>0</v>
      </c>
      <c r="M290" s="912"/>
      <c r="N290" s="912"/>
    </row>
    <row r="291" spans="1:14" ht="34.5" customHeight="1" hidden="1">
      <c r="A291" s="388" t="s">
        <v>31</v>
      </c>
      <c r="B291" s="361">
        <v>968</v>
      </c>
      <c r="C291" s="361">
        <v>309</v>
      </c>
      <c r="D291" s="361" t="s">
        <v>9</v>
      </c>
      <c r="E291" s="137"/>
      <c r="F291" s="380"/>
      <c r="G291" s="380"/>
      <c r="H291" s="2377">
        <f aca="true" t="shared" si="37" ref="H291:H297">SUM(I291:L291)</f>
        <v>0</v>
      </c>
      <c r="I291" s="2388">
        <f>I292</f>
        <v>0</v>
      </c>
      <c r="J291" s="2388">
        <f>J292</f>
        <v>0</v>
      </c>
      <c r="K291" s="2389">
        <f>K292</f>
        <v>0</v>
      </c>
      <c r="L291" s="2389">
        <f>L292</f>
        <v>0</v>
      </c>
      <c r="M291" s="912"/>
      <c r="N291" s="912"/>
    </row>
    <row r="292" spans="1:14" ht="12.75" hidden="1">
      <c r="A292" s="385" t="s">
        <v>426</v>
      </c>
      <c r="B292" s="127">
        <v>968</v>
      </c>
      <c r="C292" s="127">
        <v>309</v>
      </c>
      <c r="D292" s="127" t="s">
        <v>9</v>
      </c>
      <c r="E292" s="127">
        <v>500</v>
      </c>
      <c r="F292" s="377"/>
      <c r="G292" s="377"/>
      <c r="H292" s="2377">
        <f t="shared" si="37"/>
        <v>0</v>
      </c>
      <c r="I292" s="2376">
        <f>I293+I295</f>
        <v>0</v>
      </c>
      <c r="J292" s="2376">
        <f>J293+J295</f>
        <v>0</v>
      </c>
      <c r="K292" s="2375">
        <f>K293+K295</f>
        <v>0</v>
      </c>
      <c r="L292" s="2375">
        <f>L293+L295</f>
        <v>0</v>
      </c>
      <c r="M292" s="912"/>
      <c r="N292" s="912"/>
    </row>
    <row r="293" spans="1:14" ht="12.75" hidden="1">
      <c r="A293" s="364" t="s">
        <v>350</v>
      </c>
      <c r="B293" s="131">
        <v>968</v>
      </c>
      <c r="C293" s="131">
        <v>309</v>
      </c>
      <c r="D293" s="131" t="s">
        <v>9</v>
      </c>
      <c r="E293" s="131">
        <v>500</v>
      </c>
      <c r="F293" s="337"/>
      <c r="G293" s="337">
        <v>200</v>
      </c>
      <c r="H293" s="2377">
        <f t="shared" si="37"/>
        <v>0</v>
      </c>
      <c r="I293" s="2387">
        <f>I294</f>
        <v>0</v>
      </c>
      <c r="J293" s="2387">
        <f>J294</f>
        <v>0</v>
      </c>
      <c r="K293" s="2386">
        <f>K294</f>
        <v>0</v>
      </c>
      <c r="L293" s="2386">
        <f>L294</f>
        <v>0</v>
      </c>
      <c r="M293" s="912"/>
      <c r="N293" s="912"/>
    </row>
    <row r="294" spans="1:14" ht="12.75" hidden="1">
      <c r="A294" s="366" t="s">
        <v>353</v>
      </c>
      <c r="B294" s="373">
        <v>968</v>
      </c>
      <c r="C294" s="373">
        <v>309</v>
      </c>
      <c r="D294" s="373" t="s">
        <v>9</v>
      </c>
      <c r="E294" s="373">
        <v>500</v>
      </c>
      <c r="F294" s="379"/>
      <c r="G294" s="379">
        <v>226</v>
      </c>
      <c r="H294" s="2377">
        <f t="shared" si="37"/>
        <v>0</v>
      </c>
      <c r="I294" s="2378">
        <v>0</v>
      </c>
      <c r="J294" s="2378">
        <v>0</v>
      </c>
      <c r="K294" s="2377">
        <v>0</v>
      </c>
      <c r="L294" s="2377">
        <v>0</v>
      </c>
      <c r="M294" s="912"/>
      <c r="N294" s="912"/>
    </row>
    <row r="295" spans="1:14" ht="12.75" hidden="1">
      <c r="A295" s="363" t="s">
        <v>354</v>
      </c>
      <c r="B295" s="639">
        <v>968</v>
      </c>
      <c r="C295" s="639">
        <v>309</v>
      </c>
      <c r="D295" s="639" t="s">
        <v>9</v>
      </c>
      <c r="E295" s="639">
        <v>500</v>
      </c>
      <c r="F295" s="1157"/>
      <c r="G295" s="652">
        <v>300</v>
      </c>
      <c r="H295" s="2377">
        <f t="shared" si="37"/>
        <v>0</v>
      </c>
      <c r="I295" s="2376">
        <f>I296</f>
        <v>0</v>
      </c>
      <c r="J295" s="2376">
        <f>J296</f>
        <v>0</v>
      </c>
      <c r="K295" s="2375">
        <f>K296</f>
        <v>0</v>
      </c>
      <c r="L295" s="2375">
        <f>L296</f>
        <v>0</v>
      </c>
      <c r="M295" s="912"/>
      <c r="N295" s="912"/>
    </row>
    <row r="296" spans="1:14" ht="12.75" hidden="1">
      <c r="A296" s="366" t="s">
        <v>260</v>
      </c>
      <c r="B296" s="373">
        <v>968</v>
      </c>
      <c r="C296" s="373">
        <v>309</v>
      </c>
      <c r="D296" s="373" t="s">
        <v>9</v>
      </c>
      <c r="E296" s="373">
        <v>500</v>
      </c>
      <c r="F296" s="379"/>
      <c r="G296" s="379">
        <v>310</v>
      </c>
      <c r="H296" s="2377">
        <f t="shared" si="37"/>
        <v>0</v>
      </c>
      <c r="I296" s="2378">
        <v>0</v>
      </c>
      <c r="J296" s="2378">
        <v>0</v>
      </c>
      <c r="K296" s="2377">
        <v>0</v>
      </c>
      <c r="L296" s="2377">
        <v>0</v>
      </c>
      <c r="M296" s="912"/>
      <c r="N296" s="912"/>
    </row>
    <row r="297" spans="1:14" ht="12.75" hidden="1">
      <c r="A297" s="366" t="s">
        <v>261</v>
      </c>
      <c r="B297" s="373">
        <v>968</v>
      </c>
      <c r="C297" s="373">
        <v>309</v>
      </c>
      <c r="D297" s="373" t="s">
        <v>500</v>
      </c>
      <c r="E297" s="373">
        <v>500</v>
      </c>
      <c r="F297" s="379"/>
      <c r="G297" s="379">
        <v>340</v>
      </c>
      <c r="H297" s="2377">
        <f t="shared" si="37"/>
        <v>0</v>
      </c>
      <c r="I297" s="2378">
        <v>0</v>
      </c>
      <c r="J297" s="2378">
        <v>0</v>
      </c>
      <c r="K297" s="2377">
        <v>0</v>
      </c>
      <c r="L297" s="2377">
        <v>0</v>
      </c>
      <c r="M297" s="912"/>
      <c r="N297" s="912"/>
    </row>
    <row r="298" spans="1:16" ht="25.5" customHeight="1" hidden="1">
      <c r="A298" s="147"/>
      <c r="B298" s="38"/>
      <c r="C298" s="38"/>
      <c r="D298" s="38"/>
      <c r="E298" s="38"/>
      <c r="F298" s="38"/>
      <c r="G298" s="38"/>
      <c r="H298" s="2390"/>
      <c r="I298" s="2391"/>
      <c r="J298" s="2391"/>
      <c r="K298" s="2391"/>
      <c r="L298" s="2392"/>
      <c r="M298" s="912"/>
      <c r="N298" s="912"/>
      <c r="O298" s="911"/>
      <c r="P298" s="911"/>
    </row>
    <row r="299" spans="1:14" ht="16.5" customHeight="1" hidden="1">
      <c r="A299" s="147"/>
      <c r="B299" s="38"/>
      <c r="C299" s="38"/>
      <c r="D299" s="38"/>
      <c r="E299" s="38"/>
      <c r="F299" s="38"/>
      <c r="G299" s="38"/>
      <c r="H299" s="2390"/>
      <c r="I299" s="2391"/>
      <c r="J299" s="2391"/>
      <c r="K299" s="2391"/>
      <c r="L299" s="2392"/>
      <c r="M299" s="912"/>
      <c r="N299" s="912"/>
    </row>
    <row r="300" spans="1:14" ht="12.75" hidden="1">
      <c r="A300" s="147"/>
      <c r="B300" s="38"/>
      <c r="C300" s="38"/>
      <c r="D300" s="38"/>
      <c r="E300" s="38"/>
      <c r="F300" s="38"/>
      <c r="G300" s="38"/>
      <c r="H300" s="2390"/>
      <c r="I300" s="2391"/>
      <c r="J300" s="2391"/>
      <c r="K300" s="2391"/>
      <c r="L300" s="2392"/>
      <c r="M300" s="912"/>
      <c r="N300" s="912"/>
    </row>
    <row r="301" spans="1:14" ht="12.75" hidden="1">
      <c r="A301" s="147"/>
      <c r="B301" s="38"/>
      <c r="C301" s="38"/>
      <c r="D301" s="38"/>
      <c r="E301" s="38"/>
      <c r="F301" s="38"/>
      <c r="G301" s="38"/>
      <c r="H301" s="2390"/>
      <c r="I301" s="2391"/>
      <c r="J301" s="2391"/>
      <c r="K301" s="2391"/>
      <c r="L301" s="2392"/>
      <c r="M301" s="912"/>
      <c r="N301" s="912"/>
    </row>
    <row r="302" spans="1:14" ht="34.5" customHeight="1">
      <c r="A302" s="388" t="s">
        <v>1390</v>
      </c>
      <c r="B302" s="137">
        <v>968</v>
      </c>
      <c r="C302" s="137">
        <v>309</v>
      </c>
      <c r="D302" s="137" t="str">
        <f>D304</f>
        <v>795 05 00</v>
      </c>
      <c r="E302" s="137"/>
      <c r="F302" s="380"/>
      <c r="G302" s="380"/>
      <c r="H302" s="726">
        <f>H304</f>
        <v>125</v>
      </c>
      <c r="I302" s="853">
        <f aca="true" t="shared" si="38" ref="I302:L303">I303</f>
        <v>10.99</v>
      </c>
      <c r="J302" s="853">
        <f t="shared" si="38"/>
        <v>75</v>
      </c>
      <c r="K302" s="853">
        <f t="shared" si="38"/>
        <v>18</v>
      </c>
      <c r="L302" s="726">
        <f t="shared" si="38"/>
        <v>21.009999999999998</v>
      </c>
      <c r="M302" s="912"/>
      <c r="N302" s="912"/>
    </row>
    <row r="303" spans="1:14" ht="15.75" customHeight="1">
      <c r="A303" s="385" t="s">
        <v>1186</v>
      </c>
      <c r="B303" s="1168">
        <v>968</v>
      </c>
      <c r="C303" s="1168">
        <v>309</v>
      </c>
      <c r="D303" s="1168" t="str">
        <f>D304</f>
        <v>795 05 00</v>
      </c>
      <c r="E303" s="1168">
        <v>500</v>
      </c>
      <c r="F303" s="1162">
        <v>200</v>
      </c>
      <c r="G303" s="380"/>
      <c r="H303" s="726">
        <f>SUM(I303:L303)</f>
        <v>125</v>
      </c>
      <c r="I303" s="853">
        <f t="shared" si="38"/>
        <v>10.99</v>
      </c>
      <c r="J303" s="853">
        <f t="shared" si="38"/>
        <v>75</v>
      </c>
      <c r="K303" s="853">
        <f t="shared" si="38"/>
        <v>18</v>
      </c>
      <c r="L303" s="726">
        <f t="shared" si="38"/>
        <v>21.009999999999998</v>
      </c>
      <c r="M303" s="912"/>
      <c r="N303" s="912"/>
    </row>
    <row r="304" spans="1:14" ht="12.75">
      <c r="A304" s="1161" t="s">
        <v>1063</v>
      </c>
      <c r="B304" s="1168">
        <v>968</v>
      </c>
      <c r="C304" s="1168">
        <v>309</v>
      </c>
      <c r="D304" s="1168" t="str">
        <f>D305</f>
        <v>795 05 00</v>
      </c>
      <c r="E304" s="1168">
        <v>500</v>
      </c>
      <c r="F304" s="1162">
        <v>244</v>
      </c>
      <c r="G304" s="1162"/>
      <c r="H304" s="1169">
        <f>H305</f>
        <v>125</v>
      </c>
      <c r="I304" s="1170">
        <f>I305</f>
        <v>10.99</v>
      </c>
      <c r="J304" s="1170">
        <f>J305</f>
        <v>75</v>
      </c>
      <c r="K304" s="1169">
        <f>K305</f>
        <v>18</v>
      </c>
      <c r="L304" s="1169">
        <f>L305</f>
        <v>21.009999999999998</v>
      </c>
      <c r="M304" s="912"/>
      <c r="N304" s="912"/>
    </row>
    <row r="305" spans="1:14" ht="12.75">
      <c r="A305" s="363" t="s">
        <v>350</v>
      </c>
      <c r="B305" s="127">
        <v>968</v>
      </c>
      <c r="C305" s="127">
        <v>309</v>
      </c>
      <c r="D305" s="127" t="str">
        <f>D306</f>
        <v>795 05 00</v>
      </c>
      <c r="E305" s="127">
        <v>500</v>
      </c>
      <c r="F305" s="377">
        <v>244</v>
      </c>
      <c r="G305" s="377">
        <v>200</v>
      </c>
      <c r="H305" s="1685">
        <f aca="true" t="shared" si="39" ref="H305:H311">SUM(I305:L305)</f>
        <v>125</v>
      </c>
      <c r="I305" s="1686">
        <f>SUM(I306:I307)</f>
        <v>10.99</v>
      </c>
      <c r="J305" s="1686">
        <f>SUM(J306:J307)</f>
        <v>75</v>
      </c>
      <c r="K305" s="1686">
        <f>SUM(K306:K307)</f>
        <v>18</v>
      </c>
      <c r="L305" s="1685">
        <f>SUM(L306:L307)</f>
        <v>21.009999999999998</v>
      </c>
      <c r="M305" s="912"/>
      <c r="N305" s="912"/>
    </row>
    <row r="306" spans="1:14" ht="12.75">
      <c r="A306" s="636" t="s">
        <v>353</v>
      </c>
      <c r="B306" s="373">
        <v>968</v>
      </c>
      <c r="C306" s="373">
        <v>309</v>
      </c>
      <c r="D306" s="373" t="s">
        <v>11</v>
      </c>
      <c r="E306" s="373">
        <v>500</v>
      </c>
      <c r="F306" s="373">
        <v>244</v>
      </c>
      <c r="G306" s="373">
        <v>226</v>
      </c>
      <c r="H306" s="2339">
        <f t="shared" si="39"/>
        <v>65</v>
      </c>
      <c r="I306" s="2339">
        <f>15-4.01</f>
        <v>10.99</v>
      </c>
      <c r="J306" s="2339">
        <v>15</v>
      </c>
      <c r="K306" s="2339">
        <f>15+3</f>
        <v>18</v>
      </c>
      <c r="L306" s="2413">
        <f>17+4.01</f>
        <v>21.009999999999998</v>
      </c>
      <c r="M306" s="912"/>
      <c r="N306" s="912"/>
    </row>
    <row r="307" spans="1:14" ht="13.5" thickBot="1">
      <c r="A307" s="365" t="s">
        <v>259</v>
      </c>
      <c r="B307" s="373">
        <v>968</v>
      </c>
      <c r="C307" s="373">
        <v>309</v>
      </c>
      <c r="D307" s="373" t="s">
        <v>11</v>
      </c>
      <c r="E307" s="373">
        <v>500</v>
      </c>
      <c r="F307" s="373">
        <v>244</v>
      </c>
      <c r="G307" s="373">
        <v>290</v>
      </c>
      <c r="H307" s="2339">
        <f t="shared" si="39"/>
        <v>60</v>
      </c>
      <c r="I307" s="2339">
        <f>60-30-30</f>
        <v>0</v>
      </c>
      <c r="J307" s="2339">
        <f>30+30</f>
        <v>60</v>
      </c>
      <c r="K307" s="2339">
        <v>0</v>
      </c>
      <c r="L307" s="2413">
        <v>0</v>
      </c>
      <c r="M307" s="912"/>
      <c r="N307" s="912"/>
    </row>
    <row r="308" spans="1:14" ht="15.75" thickBot="1">
      <c r="A308" s="1126" t="s">
        <v>887</v>
      </c>
      <c r="B308" s="1994">
        <v>968</v>
      </c>
      <c r="C308" s="1994">
        <v>400</v>
      </c>
      <c r="D308" s="1994"/>
      <c r="E308" s="1994"/>
      <c r="F308" s="1995"/>
      <c r="G308" s="1995"/>
      <c r="H308" s="2426">
        <f t="shared" si="39"/>
        <v>186.5</v>
      </c>
      <c r="I308" s="2426">
        <f>I309+I315+I320</f>
        <v>0</v>
      </c>
      <c r="J308" s="2426">
        <f>J309+J315+J320</f>
        <v>0</v>
      </c>
      <c r="K308" s="2426">
        <f>K309+K315+K320</f>
        <v>186.5</v>
      </c>
      <c r="L308" s="2426">
        <f>L309+L315+L320</f>
        <v>0</v>
      </c>
      <c r="M308" s="912"/>
      <c r="N308" s="912"/>
    </row>
    <row r="309" spans="1:14" ht="15">
      <c r="A309" s="716" t="s">
        <v>934</v>
      </c>
      <c r="B309" s="641">
        <v>968</v>
      </c>
      <c r="C309" s="641">
        <v>401</v>
      </c>
      <c r="D309" s="641"/>
      <c r="E309" s="641"/>
      <c r="F309" s="642"/>
      <c r="G309" s="642"/>
      <c r="H309" s="2417">
        <f t="shared" si="39"/>
        <v>166.5</v>
      </c>
      <c r="I309" s="2418">
        <f aca="true" t="shared" si="40" ref="I309:L310">I310</f>
        <v>0</v>
      </c>
      <c r="J309" s="2419">
        <f t="shared" si="40"/>
        <v>0</v>
      </c>
      <c r="K309" s="2420">
        <f t="shared" si="40"/>
        <v>166.5</v>
      </c>
      <c r="L309" s="2420">
        <f t="shared" si="40"/>
        <v>0</v>
      </c>
      <c r="M309" s="912"/>
      <c r="N309" s="912"/>
    </row>
    <row r="310" spans="1:14" ht="24">
      <c r="A310" s="385" t="s">
        <v>1012</v>
      </c>
      <c r="B310" s="137">
        <v>968</v>
      </c>
      <c r="C310" s="137">
        <v>401</v>
      </c>
      <c r="D310" s="137" t="s">
        <v>935</v>
      </c>
      <c r="E310" s="137"/>
      <c r="F310" s="380"/>
      <c r="G310" s="380"/>
      <c r="H310" s="726">
        <f t="shared" si="39"/>
        <v>166.5</v>
      </c>
      <c r="I310" s="853">
        <f>I311</f>
        <v>0</v>
      </c>
      <c r="J310" s="853">
        <f t="shared" si="40"/>
        <v>0</v>
      </c>
      <c r="K310" s="853">
        <f t="shared" si="40"/>
        <v>166.5</v>
      </c>
      <c r="L310" s="726">
        <f t="shared" si="40"/>
        <v>0</v>
      </c>
      <c r="M310" s="912"/>
      <c r="N310" s="912"/>
    </row>
    <row r="311" spans="1:14" ht="12.75">
      <c r="A311" s="385" t="s">
        <v>1189</v>
      </c>
      <c r="B311" s="724">
        <v>968</v>
      </c>
      <c r="C311" s="724">
        <v>401</v>
      </c>
      <c r="D311" s="724" t="s">
        <v>935</v>
      </c>
      <c r="E311" s="1213">
        <v>6</v>
      </c>
      <c r="F311" s="1955">
        <v>800</v>
      </c>
      <c r="G311" s="1950"/>
      <c r="H311" s="715">
        <f t="shared" si="39"/>
        <v>166.5</v>
      </c>
      <c r="I311" s="1951">
        <f>I312</f>
        <v>0</v>
      </c>
      <c r="J311" s="1951">
        <f>J312</f>
        <v>0</v>
      </c>
      <c r="K311" s="1951">
        <f>K312</f>
        <v>166.5</v>
      </c>
      <c r="L311" s="715">
        <f>L312</f>
        <v>0</v>
      </c>
      <c r="M311" s="912"/>
      <c r="N311" s="912"/>
    </row>
    <row r="312" spans="1:14" ht="26.25" customHeight="1">
      <c r="A312" s="1954" t="s">
        <v>990</v>
      </c>
      <c r="B312" s="1701">
        <v>968</v>
      </c>
      <c r="C312" s="1701">
        <v>401</v>
      </c>
      <c r="D312" s="1701" t="s">
        <v>935</v>
      </c>
      <c r="E312" s="1952">
        <v>6</v>
      </c>
      <c r="F312" s="1953">
        <v>810</v>
      </c>
      <c r="G312" s="1702"/>
      <c r="H312" s="1169">
        <f aca="true" t="shared" si="41" ref="H312:L313">H313</f>
        <v>166.5</v>
      </c>
      <c r="I312" s="1170">
        <f t="shared" si="41"/>
        <v>0</v>
      </c>
      <c r="J312" s="1170">
        <f t="shared" si="41"/>
        <v>0</v>
      </c>
      <c r="K312" s="1169">
        <f t="shared" si="41"/>
        <v>166.5</v>
      </c>
      <c r="L312" s="1169">
        <f t="shared" si="41"/>
        <v>0</v>
      </c>
      <c r="M312" s="912"/>
      <c r="N312" s="912"/>
    </row>
    <row r="313" spans="1:14" ht="12.75">
      <c r="A313" s="363" t="s">
        <v>350</v>
      </c>
      <c r="B313" s="127">
        <v>968</v>
      </c>
      <c r="C313" s="127">
        <v>401</v>
      </c>
      <c r="D313" s="127" t="s">
        <v>935</v>
      </c>
      <c r="E313" s="856">
        <v>6</v>
      </c>
      <c r="F313" s="1155">
        <v>810</v>
      </c>
      <c r="G313" s="377">
        <v>200</v>
      </c>
      <c r="H313" s="1685">
        <f t="shared" si="41"/>
        <v>166.5</v>
      </c>
      <c r="I313" s="1686">
        <f t="shared" si="41"/>
        <v>0</v>
      </c>
      <c r="J313" s="1686">
        <f t="shared" si="41"/>
        <v>0</v>
      </c>
      <c r="K313" s="1685">
        <f t="shared" si="41"/>
        <v>166.5</v>
      </c>
      <c r="L313" s="1685">
        <f t="shared" si="41"/>
        <v>0</v>
      </c>
      <c r="M313" s="912"/>
      <c r="N313" s="912"/>
    </row>
    <row r="314" spans="1:14" ht="23.25" customHeight="1" thickBot="1">
      <c r="A314" s="930" t="s">
        <v>933</v>
      </c>
      <c r="B314" s="931">
        <v>968</v>
      </c>
      <c r="C314" s="931">
        <v>401</v>
      </c>
      <c r="D314" s="931" t="s">
        <v>935</v>
      </c>
      <c r="E314" s="1119">
        <v>6</v>
      </c>
      <c r="F314" s="1158">
        <v>810</v>
      </c>
      <c r="G314" s="932">
        <v>242</v>
      </c>
      <c r="H314" s="2421">
        <f>SUM(I314:L314)</f>
        <v>166.5</v>
      </c>
      <c r="I314" s="2416">
        <v>0</v>
      </c>
      <c r="J314" s="2416">
        <v>0</v>
      </c>
      <c r="K314" s="2416">
        <v>166.5</v>
      </c>
      <c r="L314" s="2421">
        <v>0</v>
      </c>
      <c r="M314" s="912"/>
      <c r="N314" s="912"/>
    </row>
    <row r="315" spans="1:14" ht="16.5" customHeight="1" hidden="1">
      <c r="A315" s="716" t="s">
        <v>1049</v>
      </c>
      <c r="B315" s="641">
        <v>968</v>
      </c>
      <c r="C315" s="641">
        <v>410</v>
      </c>
      <c r="D315" s="641"/>
      <c r="E315" s="1120"/>
      <c r="F315" s="1159"/>
      <c r="G315" s="642"/>
      <c r="H315" s="2393">
        <f>SUM(I315:L315)</f>
        <v>0</v>
      </c>
      <c r="I315" s="2394">
        <f aca="true" t="shared" si="42" ref="I315:L316">I316</f>
        <v>0</v>
      </c>
      <c r="J315" s="2385">
        <f t="shared" si="42"/>
        <v>0</v>
      </c>
      <c r="K315" s="2384">
        <f t="shared" si="42"/>
        <v>0</v>
      </c>
      <c r="L315" s="2384">
        <f t="shared" si="42"/>
        <v>0</v>
      </c>
      <c r="M315" s="912"/>
      <c r="N315" s="912"/>
    </row>
    <row r="316" spans="1:14" ht="15" customHeight="1" hidden="1">
      <c r="A316" s="385" t="s">
        <v>1050</v>
      </c>
      <c r="B316" s="137">
        <v>968</v>
      </c>
      <c r="C316" s="137">
        <v>410</v>
      </c>
      <c r="D316" s="137" t="s">
        <v>1048</v>
      </c>
      <c r="E316" s="137"/>
      <c r="F316" s="380"/>
      <c r="G316" s="380"/>
      <c r="H316" s="2366">
        <f>SUM(I316:L316)</f>
        <v>0</v>
      </c>
      <c r="I316" s="2367">
        <f t="shared" si="42"/>
        <v>0</v>
      </c>
      <c r="J316" s="2367">
        <f t="shared" si="42"/>
        <v>0</v>
      </c>
      <c r="K316" s="2367">
        <f t="shared" si="42"/>
        <v>0</v>
      </c>
      <c r="L316" s="2366">
        <f t="shared" si="42"/>
        <v>0</v>
      </c>
      <c r="M316" s="912"/>
      <c r="N316" s="912"/>
    </row>
    <row r="317" spans="1:14" ht="18.75" customHeight="1" hidden="1">
      <c r="A317" s="1161" t="s">
        <v>988</v>
      </c>
      <c r="B317" s="1168">
        <v>968</v>
      </c>
      <c r="C317" s="1168">
        <v>410</v>
      </c>
      <c r="D317" s="1168" t="s">
        <v>1048</v>
      </c>
      <c r="E317" s="1168">
        <v>500</v>
      </c>
      <c r="F317" s="1162">
        <v>240</v>
      </c>
      <c r="G317" s="1162"/>
      <c r="H317" s="2370">
        <f aca="true" t="shared" si="43" ref="H317:L318">H318</f>
        <v>0</v>
      </c>
      <c r="I317" s="2371">
        <f t="shared" si="43"/>
        <v>0</v>
      </c>
      <c r="J317" s="2371">
        <f t="shared" si="43"/>
        <v>0</v>
      </c>
      <c r="K317" s="2370">
        <f t="shared" si="43"/>
        <v>0</v>
      </c>
      <c r="L317" s="2370">
        <f t="shared" si="43"/>
        <v>0</v>
      </c>
      <c r="M317" s="912"/>
      <c r="N317" s="912"/>
    </row>
    <row r="318" spans="1:14" ht="15.75" customHeight="1" hidden="1">
      <c r="A318" s="363" t="s">
        <v>350</v>
      </c>
      <c r="B318" s="127">
        <v>968</v>
      </c>
      <c r="C318" s="127">
        <v>410</v>
      </c>
      <c r="D318" s="127" t="s">
        <v>1048</v>
      </c>
      <c r="E318" s="127">
        <v>500</v>
      </c>
      <c r="F318" s="377">
        <v>240</v>
      </c>
      <c r="G318" s="377">
        <v>200</v>
      </c>
      <c r="H318" s="2375">
        <f t="shared" si="43"/>
        <v>0</v>
      </c>
      <c r="I318" s="2376">
        <f t="shared" si="43"/>
        <v>0</v>
      </c>
      <c r="J318" s="2376">
        <f t="shared" si="43"/>
        <v>0</v>
      </c>
      <c r="K318" s="2375">
        <f t="shared" si="43"/>
        <v>0</v>
      </c>
      <c r="L318" s="2375">
        <f t="shared" si="43"/>
        <v>0</v>
      </c>
      <c r="M318" s="912"/>
      <c r="N318" s="912"/>
    </row>
    <row r="319" spans="1:14" ht="15.75" customHeight="1" hidden="1" thickBot="1">
      <c r="A319" s="930" t="s">
        <v>353</v>
      </c>
      <c r="B319" s="931">
        <v>968</v>
      </c>
      <c r="C319" s="931">
        <v>410</v>
      </c>
      <c r="D319" s="931" t="s">
        <v>1048</v>
      </c>
      <c r="E319" s="931">
        <v>500</v>
      </c>
      <c r="F319" s="932">
        <v>240</v>
      </c>
      <c r="G319" s="932">
        <v>226</v>
      </c>
      <c r="H319" s="2395">
        <f>SUM(I319:L319)</f>
        <v>0</v>
      </c>
      <c r="I319" s="2396">
        <v>0</v>
      </c>
      <c r="J319" s="2396">
        <v>0</v>
      </c>
      <c r="K319" s="2396">
        <v>0</v>
      </c>
      <c r="L319" s="2395">
        <v>0</v>
      </c>
      <c r="M319" s="912"/>
      <c r="N319" s="912"/>
    </row>
    <row r="320" spans="1:14" ht="15">
      <c r="A320" s="716" t="s">
        <v>888</v>
      </c>
      <c r="B320" s="641">
        <v>968</v>
      </c>
      <c r="C320" s="641">
        <v>412</v>
      </c>
      <c r="D320" s="641"/>
      <c r="E320" s="1120"/>
      <c r="F320" s="1159"/>
      <c r="G320" s="642"/>
      <c r="H320" s="2417">
        <f>SUM(I320:L320)</f>
        <v>20</v>
      </c>
      <c r="I320" s="2418">
        <f aca="true" t="shared" si="44" ref="I320:L321">I321</f>
        <v>0</v>
      </c>
      <c r="J320" s="2419">
        <f t="shared" si="44"/>
        <v>0</v>
      </c>
      <c r="K320" s="2420">
        <f t="shared" si="44"/>
        <v>20</v>
      </c>
      <c r="L320" s="2420">
        <f t="shared" si="44"/>
        <v>0</v>
      </c>
      <c r="M320" s="912"/>
      <c r="N320" s="912"/>
    </row>
    <row r="321" spans="1:14" ht="24">
      <c r="A321" s="385" t="s">
        <v>1391</v>
      </c>
      <c r="B321" s="137">
        <v>968</v>
      </c>
      <c r="C321" s="137">
        <v>412</v>
      </c>
      <c r="D321" s="137" t="s">
        <v>1287</v>
      </c>
      <c r="E321" s="137"/>
      <c r="F321" s="380"/>
      <c r="G321" s="380"/>
      <c r="H321" s="726">
        <f>SUM(I321:L321)</f>
        <v>20</v>
      </c>
      <c r="I321" s="853">
        <f>I322</f>
        <v>0</v>
      </c>
      <c r="J321" s="853">
        <f t="shared" si="44"/>
        <v>0</v>
      </c>
      <c r="K321" s="853">
        <f t="shared" si="44"/>
        <v>20</v>
      </c>
      <c r="L321" s="726">
        <f t="shared" si="44"/>
        <v>0</v>
      </c>
      <c r="M321" s="912"/>
      <c r="N321" s="912"/>
    </row>
    <row r="322" spans="1:14" ht="12.75">
      <c r="A322" s="385" t="s">
        <v>1186</v>
      </c>
      <c r="B322" s="1168">
        <v>968</v>
      </c>
      <c r="C322" s="1168">
        <v>412</v>
      </c>
      <c r="D322" s="1168" t="s">
        <v>1287</v>
      </c>
      <c r="E322" s="1168">
        <v>500</v>
      </c>
      <c r="F322" s="1162">
        <v>200</v>
      </c>
      <c r="G322" s="380"/>
      <c r="H322" s="726">
        <f>SUM(I322:L322)</f>
        <v>20</v>
      </c>
      <c r="I322" s="853">
        <f>I323</f>
        <v>0</v>
      </c>
      <c r="J322" s="853">
        <f>J323</f>
        <v>0</v>
      </c>
      <c r="K322" s="853">
        <f>K323</f>
        <v>20</v>
      </c>
      <c r="L322" s="726">
        <f>L323</f>
        <v>0</v>
      </c>
      <c r="M322" s="912"/>
      <c r="N322" s="912"/>
    </row>
    <row r="323" spans="1:14" ht="12.75">
      <c r="A323" s="1161" t="s">
        <v>1063</v>
      </c>
      <c r="B323" s="1168">
        <v>968</v>
      </c>
      <c r="C323" s="1168">
        <v>412</v>
      </c>
      <c r="D323" s="1168" t="s">
        <v>1287</v>
      </c>
      <c r="E323" s="1168">
        <v>500</v>
      </c>
      <c r="F323" s="1162">
        <v>244</v>
      </c>
      <c r="G323" s="1162"/>
      <c r="H323" s="1169">
        <f aca="true" t="shared" si="45" ref="H323:L324">H324</f>
        <v>20</v>
      </c>
      <c r="I323" s="1170">
        <f t="shared" si="45"/>
        <v>0</v>
      </c>
      <c r="J323" s="1170">
        <f t="shared" si="45"/>
        <v>0</v>
      </c>
      <c r="K323" s="1169">
        <f t="shared" si="45"/>
        <v>20</v>
      </c>
      <c r="L323" s="1169">
        <f t="shared" si="45"/>
        <v>0</v>
      </c>
      <c r="M323" s="912"/>
      <c r="N323" s="912"/>
    </row>
    <row r="324" spans="1:14" ht="12.75">
      <c r="A324" s="363" t="s">
        <v>350</v>
      </c>
      <c r="B324" s="127">
        <v>968</v>
      </c>
      <c r="C324" s="127">
        <v>412</v>
      </c>
      <c r="D324" s="127" t="s">
        <v>1287</v>
      </c>
      <c r="E324" s="127">
        <v>500</v>
      </c>
      <c r="F324" s="377">
        <v>244</v>
      </c>
      <c r="G324" s="377">
        <v>200</v>
      </c>
      <c r="H324" s="1685">
        <f t="shared" si="45"/>
        <v>20</v>
      </c>
      <c r="I324" s="1686">
        <f t="shared" si="45"/>
        <v>0</v>
      </c>
      <c r="J324" s="1686">
        <f t="shared" si="45"/>
        <v>0</v>
      </c>
      <c r="K324" s="1685">
        <f t="shared" si="45"/>
        <v>20</v>
      </c>
      <c r="L324" s="1685">
        <f t="shared" si="45"/>
        <v>0</v>
      </c>
      <c r="M324" s="912"/>
      <c r="N324" s="912"/>
    </row>
    <row r="325" spans="1:14" ht="13.5" thickBot="1">
      <c r="A325" s="930" t="s">
        <v>353</v>
      </c>
      <c r="B325" s="931">
        <v>968</v>
      </c>
      <c r="C325" s="931">
        <v>412</v>
      </c>
      <c r="D325" s="931" t="s">
        <v>1287</v>
      </c>
      <c r="E325" s="931">
        <v>500</v>
      </c>
      <c r="F325" s="932">
        <v>244</v>
      </c>
      <c r="G325" s="932">
        <v>226</v>
      </c>
      <c r="H325" s="2421">
        <f>SUM(I325:L325)</f>
        <v>20</v>
      </c>
      <c r="I325" s="2416">
        <v>0</v>
      </c>
      <c r="J325" s="2416">
        <v>0</v>
      </c>
      <c r="K325" s="2416">
        <v>20</v>
      </c>
      <c r="L325" s="2421">
        <v>0</v>
      </c>
      <c r="M325" s="912"/>
      <c r="N325" s="912"/>
    </row>
    <row r="326" spans="1:14" ht="15.75" thickBot="1">
      <c r="A326" s="644" t="s">
        <v>264</v>
      </c>
      <c r="B326" s="645">
        <v>968</v>
      </c>
      <c r="C326" s="645">
        <v>500</v>
      </c>
      <c r="D326" s="645"/>
      <c r="E326" s="645"/>
      <c r="F326" s="646"/>
      <c r="G326" s="646"/>
      <c r="H326" s="2423">
        <f>SUM(I326:L326)</f>
        <v>50164.90299999999</v>
      </c>
      <c r="I326" s="2423">
        <f>I327</f>
        <v>382.11</v>
      </c>
      <c r="J326" s="2442">
        <f>J327</f>
        <v>5715.4079999999985</v>
      </c>
      <c r="K326" s="2423">
        <f>K327</f>
        <v>43627.085999999996</v>
      </c>
      <c r="L326" s="2423">
        <f>L327</f>
        <v>440.299</v>
      </c>
      <c r="M326" s="912"/>
      <c r="N326" s="912"/>
    </row>
    <row r="327" spans="1:14" ht="15.75" thickBot="1">
      <c r="A327" s="386" t="s">
        <v>406</v>
      </c>
      <c r="B327" s="371">
        <v>968</v>
      </c>
      <c r="C327" s="371">
        <v>503</v>
      </c>
      <c r="D327" s="371"/>
      <c r="E327" s="371"/>
      <c r="F327" s="376"/>
      <c r="G327" s="376"/>
      <c r="H327" s="2443">
        <f>SUM(I327:L327)</f>
        <v>50164.90299999999</v>
      </c>
      <c r="I327" s="2443">
        <f>I328+I362+I382+I410</f>
        <v>382.11</v>
      </c>
      <c r="J327" s="2443">
        <f>J328+J362+J382+J410</f>
        <v>5715.4079999999985</v>
      </c>
      <c r="K327" s="2443">
        <f>K328+K362+K382+K410</f>
        <v>43627.085999999996</v>
      </c>
      <c r="L327" s="2443">
        <f>L328+L362+L382+L410</f>
        <v>440.299</v>
      </c>
      <c r="M327" s="912"/>
      <c r="N327" s="912"/>
    </row>
    <row r="328" spans="1:14" ht="18" customHeight="1">
      <c r="A328" s="1651" t="s">
        <v>1034</v>
      </c>
      <c r="B328" s="137">
        <v>968</v>
      </c>
      <c r="C328" s="137">
        <v>503</v>
      </c>
      <c r="D328" s="137" t="s">
        <v>408</v>
      </c>
      <c r="E328" s="137"/>
      <c r="F328" s="380"/>
      <c r="G328" s="380"/>
      <c r="H328" s="2444">
        <f>H329+H338+H343+H354</f>
        <v>36121.721999999994</v>
      </c>
      <c r="I328" s="2444">
        <f>I329+I338+I343+I354</f>
        <v>174.712</v>
      </c>
      <c r="J328" s="2444">
        <f>J329+J338+J343+J354</f>
        <v>2349.788999999999</v>
      </c>
      <c r="K328" s="2444">
        <f>K329+K338+K343+K354</f>
        <v>33567.221</v>
      </c>
      <c r="L328" s="2444">
        <f>L329+L338+L343+L354</f>
        <v>30</v>
      </c>
      <c r="M328" s="912"/>
      <c r="N328" s="912"/>
    </row>
    <row r="329" spans="1:14" ht="25.5" customHeight="1">
      <c r="A329" s="388" t="s">
        <v>1093</v>
      </c>
      <c r="B329" s="130">
        <v>968</v>
      </c>
      <c r="C329" s="130">
        <v>503</v>
      </c>
      <c r="D329" s="130" t="s">
        <v>410</v>
      </c>
      <c r="E329" s="130"/>
      <c r="F329" s="387"/>
      <c r="G329" s="387"/>
      <c r="H329" s="715">
        <f>H331</f>
        <v>32358.722999999998</v>
      </c>
      <c r="I329" s="715">
        <f aca="true" t="shared" si="46" ref="I329:L331">I330</f>
        <v>84.71199999999999</v>
      </c>
      <c r="J329" s="715">
        <f t="shared" si="46"/>
        <v>2109.788999999999</v>
      </c>
      <c r="K329" s="715">
        <f t="shared" si="46"/>
        <v>30164.221999999998</v>
      </c>
      <c r="L329" s="715">
        <f t="shared" si="46"/>
        <v>0</v>
      </c>
      <c r="M329" s="912"/>
      <c r="N329" s="912"/>
    </row>
    <row r="330" spans="1:14" ht="13.5" customHeight="1">
      <c r="A330" s="385" t="s">
        <v>1186</v>
      </c>
      <c r="B330" s="1701">
        <v>968</v>
      </c>
      <c r="C330" s="1701">
        <v>503</v>
      </c>
      <c r="D330" s="1701" t="s">
        <v>410</v>
      </c>
      <c r="E330" s="1701">
        <v>500</v>
      </c>
      <c r="F330" s="1702">
        <v>200</v>
      </c>
      <c r="G330" s="387"/>
      <c r="H330" s="715">
        <f>SUM(I330:L330)</f>
        <v>32358.722999999998</v>
      </c>
      <c r="I330" s="715">
        <f t="shared" si="46"/>
        <v>84.71199999999999</v>
      </c>
      <c r="J330" s="715">
        <f t="shared" si="46"/>
        <v>2109.788999999999</v>
      </c>
      <c r="K330" s="715">
        <f t="shared" si="46"/>
        <v>30164.221999999998</v>
      </c>
      <c r="L330" s="715">
        <f t="shared" si="46"/>
        <v>0</v>
      </c>
      <c r="M330" s="912"/>
      <c r="N330" s="912"/>
    </row>
    <row r="331" spans="1:14" ht="15" customHeight="1">
      <c r="A331" s="1161" t="s">
        <v>1063</v>
      </c>
      <c r="B331" s="1168">
        <v>968</v>
      </c>
      <c r="C331" s="1168">
        <v>503</v>
      </c>
      <c r="D331" s="1168" t="s">
        <v>410</v>
      </c>
      <c r="E331" s="1168">
        <v>500</v>
      </c>
      <c r="F331" s="1162">
        <v>244</v>
      </c>
      <c r="G331" s="1162"/>
      <c r="H331" s="1169">
        <f>H332</f>
        <v>32358.722999999998</v>
      </c>
      <c r="I331" s="1169">
        <f t="shared" si="46"/>
        <v>84.71199999999999</v>
      </c>
      <c r="J331" s="2430">
        <f t="shared" si="46"/>
        <v>2109.788999999999</v>
      </c>
      <c r="K331" s="1169">
        <f t="shared" si="46"/>
        <v>30164.221999999998</v>
      </c>
      <c r="L331" s="1169">
        <f t="shared" si="46"/>
        <v>0</v>
      </c>
      <c r="M331" s="912"/>
      <c r="N331" s="912"/>
    </row>
    <row r="332" spans="1:14" ht="12.75">
      <c r="A332" s="363" t="s">
        <v>350</v>
      </c>
      <c r="B332" s="127">
        <v>968</v>
      </c>
      <c r="C332" s="127">
        <v>503</v>
      </c>
      <c r="D332" s="127" t="s">
        <v>410</v>
      </c>
      <c r="E332" s="127">
        <v>500</v>
      </c>
      <c r="F332" s="377">
        <v>244</v>
      </c>
      <c r="G332" s="377">
        <v>200</v>
      </c>
      <c r="H332" s="1685">
        <f>SUM(I332:L332)</f>
        <v>32358.722999999998</v>
      </c>
      <c r="I332" s="1685">
        <f>SUM(I333:I334)</f>
        <v>84.71199999999999</v>
      </c>
      <c r="J332" s="1685">
        <f>SUM(J333:J334)</f>
        <v>2109.788999999999</v>
      </c>
      <c r="K332" s="1685">
        <f>SUM(K333:K334)</f>
        <v>30164.221999999998</v>
      </c>
      <c r="L332" s="1685">
        <f>SUM(L333:L334)</f>
        <v>0</v>
      </c>
      <c r="M332" s="912"/>
      <c r="N332" s="912"/>
    </row>
    <row r="333" spans="1:14" ht="12.75" customHeight="1" hidden="1">
      <c r="A333" s="366" t="s">
        <v>352</v>
      </c>
      <c r="B333" s="127">
        <v>968</v>
      </c>
      <c r="C333" s="373">
        <v>503</v>
      </c>
      <c r="D333" s="373" t="s">
        <v>410</v>
      </c>
      <c r="E333" s="373">
        <v>500</v>
      </c>
      <c r="F333" s="379">
        <v>244</v>
      </c>
      <c r="G333" s="379">
        <v>225</v>
      </c>
      <c r="H333" s="1683">
        <f>SUM(I333:L333)</f>
        <v>0</v>
      </c>
      <c r="I333" s="1683">
        <v>0</v>
      </c>
      <c r="J333" s="2431">
        <v>0</v>
      </c>
      <c r="K333" s="1683">
        <v>0</v>
      </c>
      <c r="L333" s="1683">
        <v>0</v>
      </c>
      <c r="M333" s="912"/>
      <c r="N333" s="912"/>
    </row>
    <row r="334" spans="1:14" ht="16.5" customHeight="1">
      <c r="A334" s="366" t="s">
        <v>353</v>
      </c>
      <c r="B334" s="373">
        <v>968</v>
      </c>
      <c r="C334" s="373">
        <v>503</v>
      </c>
      <c r="D334" s="373" t="s">
        <v>410</v>
      </c>
      <c r="E334" s="373">
        <v>500</v>
      </c>
      <c r="F334" s="379">
        <v>244</v>
      </c>
      <c r="G334" s="379">
        <v>226</v>
      </c>
      <c r="H334" s="1683">
        <f>SUM(I334:L334)</f>
        <v>32358.722999999998</v>
      </c>
      <c r="I334" s="1683">
        <f>0+125.232-40.52</f>
        <v>84.71199999999999</v>
      </c>
      <c r="J334" s="2431">
        <f>20000-17974.649+43.918+40.52</f>
        <v>2109.788999999999</v>
      </c>
      <c r="K334" s="1683">
        <f>12084.176+18199.196-119.15</f>
        <v>30164.221999999998</v>
      </c>
      <c r="L334" s="1683">
        <v>0</v>
      </c>
      <c r="M334" s="912"/>
      <c r="N334" s="912"/>
    </row>
    <row r="335" spans="1:14" ht="24" hidden="1">
      <c r="A335" s="729" t="s">
        <v>777</v>
      </c>
      <c r="B335" s="127">
        <v>968</v>
      </c>
      <c r="C335" s="127">
        <v>503</v>
      </c>
      <c r="D335" s="127" t="s">
        <v>410</v>
      </c>
      <c r="E335" s="127">
        <v>599</v>
      </c>
      <c r="F335" s="377"/>
      <c r="G335" s="377"/>
      <c r="H335" s="1685">
        <f aca="true" t="shared" si="47" ref="H335:L336">H336</f>
        <v>0</v>
      </c>
      <c r="I335" s="1685">
        <f t="shared" si="47"/>
        <v>0</v>
      </c>
      <c r="J335" s="2432">
        <f t="shared" si="47"/>
        <v>0</v>
      </c>
      <c r="K335" s="1685">
        <f>K336</f>
        <v>0</v>
      </c>
      <c r="L335" s="1685">
        <f t="shared" si="47"/>
        <v>0</v>
      </c>
      <c r="M335" s="912"/>
      <c r="N335" s="912"/>
    </row>
    <row r="336" spans="1:14" ht="12.75" hidden="1">
      <c r="A336" s="363" t="s">
        <v>350</v>
      </c>
      <c r="B336" s="127">
        <v>968</v>
      </c>
      <c r="C336" s="127">
        <v>503</v>
      </c>
      <c r="D336" s="127" t="s">
        <v>410</v>
      </c>
      <c r="E336" s="127">
        <v>599</v>
      </c>
      <c r="F336" s="377"/>
      <c r="G336" s="377">
        <v>200</v>
      </c>
      <c r="H336" s="1685">
        <f t="shared" si="47"/>
        <v>0</v>
      </c>
      <c r="I336" s="1685">
        <f t="shared" si="47"/>
        <v>0</v>
      </c>
      <c r="J336" s="2432">
        <f t="shared" si="47"/>
        <v>0</v>
      </c>
      <c r="K336" s="1685">
        <f t="shared" si="47"/>
        <v>0</v>
      </c>
      <c r="L336" s="1685">
        <f t="shared" si="47"/>
        <v>0</v>
      </c>
      <c r="M336" s="912"/>
      <c r="N336" s="912"/>
    </row>
    <row r="337" spans="1:14" ht="28.5" customHeight="1" hidden="1">
      <c r="A337" s="366" t="s">
        <v>353</v>
      </c>
      <c r="B337" s="373">
        <v>968</v>
      </c>
      <c r="C337" s="373">
        <v>503</v>
      </c>
      <c r="D337" s="373" t="s">
        <v>410</v>
      </c>
      <c r="E337" s="373">
        <v>599</v>
      </c>
      <c r="F337" s="379"/>
      <c r="G337" s="379">
        <v>226</v>
      </c>
      <c r="H337" s="1683">
        <f>SUM(I337:L337)</f>
        <v>0</v>
      </c>
      <c r="I337" s="1683">
        <v>0</v>
      </c>
      <c r="J337" s="2431">
        <v>0</v>
      </c>
      <c r="K337" s="1683">
        <v>0</v>
      </c>
      <c r="L337" s="1683">
        <v>0</v>
      </c>
      <c r="M337" s="912"/>
      <c r="N337" s="912"/>
    </row>
    <row r="338" spans="1:14" ht="17.25" customHeight="1">
      <c r="A338" s="388" t="s">
        <v>1035</v>
      </c>
      <c r="B338" s="130">
        <v>968</v>
      </c>
      <c r="C338" s="130">
        <v>503</v>
      </c>
      <c r="D338" s="130" t="s">
        <v>411</v>
      </c>
      <c r="E338" s="130"/>
      <c r="F338" s="387"/>
      <c r="G338" s="387"/>
      <c r="H338" s="715">
        <f>H340</f>
        <v>473.057</v>
      </c>
      <c r="I338" s="715">
        <f aca="true" t="shared" si="48" ref="I338:L339">I339</f>
        <v>0</v>
      </c>
      <c r="J338" s="715">
        <f t="shared" si="48"/>
        <v>0</v>
      </c>
      <c r="K338" s="715">
        <f t="shared" si="48"/>
        <v>473.057</v>
      </c>
      <c r="L338" s="715">
        <f t="shared" si="48"/>
        <v>0</v>
      </c>
      <c r="M338" s="912"/>
      <c r="N338" s="912"/>
    </row>
    <row r="339" spans="1:14" ht="17.25" customHeight="1">
      <c r="A339" s="385" t="s">
        <v>1186</v>
      </c>
      <c r="B339" s="1701">
        <v>968</v>
      </c>
      <c r="C339" s="1701">
        <v>503</v>
      </c>
      <c r="D339" s="1701" t="s">
        <v>411</v>
      </c>
      <c r="E339" s="1701">
        <v>500</v>
      </c>
      <c r="F339" s="1702">
        <v>200</v>
      </c>
      <c r="G339" s="387"/>
      <c r="H339" s="715">
        <f>SUM(I339:L339)</f>
        <v>473.057</v>
      </c>
      <c r="I339" s="715">
        <f t="shared" si="48"/>
        <v>0</v>
      </c>
      <c r="J339" s="715">
        <f t="shared" si="48"/>
        <v>0</v>
      </c>
      <c r="K339" s="715">
        <f t="shared" si="48"/>
        <v>473.057</v>
      </c>
      <c r="L339" s="715">
        <f t="shared" si="48"/>
        <v>0</v>
      </c>
      <c r="M339" s="912"/>
      <c r="N339" s="912"/>
    </row>
    <row r="340" spans="1:14" ht="12.75">
      <c r="A340" s="1161" t="s">
        <v>1063</v>
      </c>
      <c r="B340" s="1168">
        <v>968</v>
      </c>
      <c r="C340" s="1168">
        <v>503</v>
      </c>
      <c r="D340" s="1168" t="s">
        <v>411</v>
      </c>
      <c r="E340" s="1168">
        <v>500</v>
      </c>
      <c r="F340" s="1162">
        <v>244</v>
      </c>
      <c r="G340" s="1162"/>
      <c r="H340" s="1169">
        <f>SUM(I340:L340)</f>
        <v>473.057</v>
      </c>
      <c r="I340" s="1169">
        <f aca="true" t="shared" si="49" ref="I340:L341">I341</f>
        <v>0</v>
      </c>
      <c r="J340" s="2430">
        <f>J341</f>
        <v>0</v>
      </c>
      <c r="K340" s="1169">
        <f>K341</f>
        <v>473.057</v>
      </c>
      <c r="L340" s="1169">
        <f t="shared" si="49"/>
        <v>0</v>
      </c>
      <c r="M340" s="912"/>
      <c r="N340" s="912"/>
    </row>
    <row r="341" spans="1:14" ht="12.75">
      <c r="A341" s="363" t="s">
        <v>350</v>
      </c>
      <c r="B341" s="127">
        <v>968</v>
      </c>
      <c r="C341" s="127">
        <v>503</v>
      </c>
      <c r="D341" s="127" t="s">
        <v>411</v>
      </c>
      <c r="E341" s="127">
        <v>500</v>
      </c>
      <c r="F341" s="377">
        <v>244</v>
      </c>
      <c r="G341" s="377">
        <v>200</v>
      </c>
      <c r="H341" s="1685">
        <f>SUM(I341:L341)</f>
        <v>473.057</v>
      </c>
      <c r="I341" s="1685">
        <f t="shared" si="49"/>
        <v>0</v>
      </c>
      <c r="J341" s="2432">
        <f>J342</f>
        <v>0</v>
      </c>
      <c r="K341" s="1685">
        <f>K342</f>
        <v>473.057</v>
      </c>
      <c r="L341" s="1685">
        <f t="shared" si="49"/>
        <v>0</v>
      </c>
      <c r="M341" s="912"/>
      <c r="N341" s="912"/>
    </row>
    <row r="342" spans="1:14" ht="15" customHeight="1">
      <c r="A342" s="366" t="s">
        <v>353</v>
      </c>
      <c r="B342" s="373">
        <v>968</v>
      </c>
      <c r="C342" s="373">
        <v>503</v>
      </c>
      <c r="D342" s="373" t="s">
        <v>411</v>
      </c>
      <c r="E342" s="373">
        <v>500</v>
      </c>
      <c r="F342" s="379">
        <v>244</v>
      </c>
      <c r="G342" s="379">
        <v>226</v>
      </c>
      <c r="H342" s="1683">
        <f>SUM(I342:L342)</f>
        <v>473.057</v>
      </c>
      <c r="I342" s="1683">
        <v>0</v>
      </c>
      <c r="J342" s="2431">
        <f>777.139-777.139</f>
        <v>0</v>
      </c>
      <c r="K342" s="1683">
        <f>473.524-0.467</f>
        <v>473.057</v>
      </c>
      <c r="L342" s="1683">
        <v>0</v>
      </c>
      <c r="M342" s="912"/>
      <c r="N342" s="912"/>
    </row>
    <row r="343" spans="1:14" ht="17.25" customHeight="1">
      <c r="A343" s="388" t="s">
        <v>32</v>
      </c>
      <c r="B343" s="130">
        <v>968</v>
      </c>
      <c r="C343" s="130">
        <v>503</v>
      </c>
      <c r="D343" s="130" t="s">
        <v>412</v>
      </c>
      <c r="E343" s="130"/>
      <c r="F343" s="387"/>
      <c r="G343" s="387"/>
      <c r="H343" s="715">
        <f>H345+H349</f>
        <v>2616.2039999999997</v>
      </c>
      <c r="I343" s="715">
        <f aca="true" t="shared" si="50" ref="I343:L344">I344</f>
        <v>0</v>
      </c>
      <c r="J343" s="715">
        <f t="shared" si="50"/>
        <v>100</v>
      </c>
      <c r="K343" s="715">
        <f t="shared" si="50"/>
        <v>2516.2039999999997</v>
      </c>
      <c r="L343" s="715">
        <f t="shared" si="50"/>
        <v>0</v>
      </c>
      <c r="M343" s="912"/>
      <c r="N343" s="912"/>
    </row>
    <row r="344" spans="1:14" ht="17.25" customHeight="1">
      <c r="A344" s="385" t="s">
        <v>1186</v>
      </c>
      <c r="B344" s="1701">
        <v>968</v>
      </c>
      <c r="C344" s="1701">
        <v>503</v>
      </c>
      <c r="D344" s="1701" t="s">
        <v>412</v>
      </c>
      <c r="E344" s="1701">
        <v>500</v>
      </c>
      <c r="F344" s="1702">
        <v>200</v>
      </c>
      <c r="G344" s="387"/>
      <c r="H344" s="715">
        <f>SUM(I344:L344)</f>
        <v>2616.2039999999997</v>
      </c>
      <c r="I344" s="715">
        <f t="shared" si="50"/>
        <v>0</v>
      </c>
      <c r="J344" s="715">
        <f t="shared" si="50"/>
        <v>100</v>
      </c>
      <c r="K344" s="715">
        <f t="shared" si="50"/>
        <v>2516.2039999999997</v>
      </c>
      <c r="L344" s="715">
        <f t="shared" si="50"/>
        <v>0</v>
      </c>
      <c r="M344" s="912"/>
      <c r="N344" s="912"/>
    </row>
    <row r="345" spans="1:14" ht="12.75">
      <c r="A345" s="1161" t="s">
        <v>1063</v>
      </c>
      <c r="B345" s="1168">
        <v>968</v>
      </c>
      <c r="C345" s="1168">
        <v>503</v>
      </c>
      <c r="D345" s="1168" t="s">
        <v>412</v>
      </c>
      <c r="E345" s="1168">
        <v>500</v>
      </c>
      <c r="F345" s="1162">
        <v>244</v>
      </c>
      <c r="G345" s="1162"/>
      <c r="H345" s="1169">
        <f>SUM(I345:L345)</f>
        <v>2616.2039999999997</v>
      </c>
      <c r="I345" s="1169">
        <f>I346+I352</f>
        <v>0</v>
      </c>
      <c r="J345" s="1169">
        <f>J346+J352</f>
        <v>100</v>
      </c>
      <c r="K345" s="1169">
        <f>K346+K352</f>
        <v>2516.2039999999997</v>
      </c>
      <c r="L345" s="1169">
        <f>L346+L352</f>
        <v>0</v>
      </c>
      <c r="M345" s="912"/>
      <c r="N345" s="912"/>
    </row>
    <row r="346" spans="1:14" ht="12.75">
      <c r="A346" s="363" t="s">
        <v>350</v>
      </c>
      <c r="B346" s="127">
        <v>968</v>
      </c>
      <c r="C346" s="127">
        <v>503</v>
      </c>
      <c r="D346" s="127" t="s">
        <v>412</v>
      </c>
      <c r="E346" s="127">
        <v>500</v>
      </c>
      <c r="F346" s="377">
        <v>244</v>
      </c>
      <c r="G346" s="377">
        <v>200</v>
      </c>
      <c r="H346" s="1685">
        <f>SUM(I346:L346)</f>
        <v>1037.185</v>
      </c>
      <c r="I346" s="1685">
        <f>SUM(I347:I348)</f>
        <v>0</v>
      </c>
      <c r="J346" s="1685">
        <f>SUM(J347:J348)</f>
        <v>0</v>
      </c>
      <c r="K346" s="1685">
        <f>SUM(K347:K348)</f>
        <v>1037.185</v>
      </c>
      <c r="L346" s="1685">
        <f>SUM(L347:L348)</f>
        <v>0</v>
      </c>
      <c r="M346" s="912"/>
      <c r="N346" s="912"/>
    </row>
    <row r="347" spans="1:14" ht="12.75">
      <c r="A347" s="366" t="s">
        <v>352</v>
      </c>
      <c r="B347" s="373">
        <v>968</v>
      </c>
      <c r="C347" s="373">
        <v>503</v>
      </c>
      <c r="D347" s="373" t="s">
        <v>412</v>
      </c>
      <c r="E347" s="373">
        <v>500</v>
      </c>
      <c r="F347" s="379">
        <v>244</v>
      </c>
      <c r="G347" s="379">
        <v>225</v>
      </c>
      <c r="H347" s="1683">
        <f>SUM(I347:L347)</f>
        <v>1000</v>
      </c>
      <c r="I347" s="1683">
        <v>0</v>
      </c>
      <c r="J347" s="2431">
        <f>500-500</f>
        <v>0</v>
      </c>
      <c r="K347" s="1683">
        <v>1000</v>
      </c>
      <c r="L347" s="1683">
        <v>0</v>
      </c>
      <c r="M347" s="912"/>
      <c r="N347" s="912"/>
    </row>
    <row r="348" spans="1:14" ht="12" customHeight="1">
      <c r="A348" s="366" t="s">
        <v>353</v>
      </c>
      <c r="B348" s="373">
        <v>968</v>
      </c>
      <c r="C348" s="373">
        <v>503</v>
      </c>
      <c r="D348" s="373" t="s">
        <v>412</v>
      </c>
      <c r="E348" s="373">
        <v>500</v>
      </c>
      <c r="F348" s="379">
        <v>244</v>
      </c>
      <c r="G348" s="379">
        <v>226</v>
      </c>
      <c r="H348" s="1683">
        <f>SUM(I348:L348)</f>
        <v>37.185</v>
      </c>
      <c r="I348" s="1683">
        <v>0</v>
      </c>
      <c r="J348" s="2431">
        <v>0</v>
      </c>
      <c r="K348" s="1683">
        <f>42.988-5.803</f>
        <v>37.185</v>
      </c>
      <c r="L348" s="1683">
        <v>0</v>
      </c>
      <c r="M348" s="912"/>
      <c r="N348" s="912"/>
    </row>
    <row r="349" spans="1:14" ht="24" hidden="1">
      <c r="A349" s="729" t="s">
        <v>777</v>
      </c>
      <c r="B349" s="127">
        <v>968</v>
      </c>
      <c r="C349" s="127">
        <v>503</v>
      </c>
      <c r="D349" s="127" t="s">
        <v>412</v>
      </c>
      <c r="E349" s="127">
        <v>599</v>
      </c>
      <c r="F349" s="377"/>
      <c r="G349" s="377"/>
      <c r="H349" s="2375">
        <f aca="true" t="shared" si="51" ref="H349:L350">H350</f>
        <v>0</v>
      </c>
      <c r="I349" s="2375">
        <f t="shared" si="51"/>
        <v>0</v>
      </c>
      <c r="J349" s="2399">
        <f t="shared" si="51"/>
        <v>0</v>
      </c>
      <c r="K349" s="2375">
        <f t="shared" si="51"/>
        <v>0</v>
      </c>
      <c r="L349" s="2375">
        <f t="shared" si="51"/>
        <v>0</v>
      </c>
      <c r="M349" s="912"/>
      <c r="N349" s="912"/>
    </row>
    <row r="350" spans="1:14" ht="12.75" hidden="1">
      <c r="A350" s="363" t="s">
        <v>350</v>
      </c>
      <c r="B350" s="127">
        <v>968</v>
      </c>
      <c r="C350" s="127">
        <v>503</v>
      </c>
      <c r="D350" s="127" t="s">
        <v>412</v>
      </c>
      <c r="E350" s="127">
        <v>599</v>
      </c>
      <c r="F350" s="377"/>
      <c r="G350" s="377">
        <v>200</v>
      </c>
      <c r="H350" s="2375">
        <f t="shared" si="51"/>
        <v>0</v>
      </c>
      <c r="I350" s="2375">
        <f t="shared" si="51"/>
        <v>0</v>
      </c>
      <c r="J350" s="2399">
        <f t="shared" si="51"/>
        <v>0</v>
      </c>
      <c r="K350" s="2375">
        <f t="shared" si="51"/>
        <v>0</v>
      </c>
      <c r="L350" s="2375">
        <f t="shared" si="51"/>
        <v>0</v>
      </c>
      <c r="M350" s="912"/>
      <c r="N350" s="912"/>
    </row>
    <row r="351" spans="1:14" ht="12.75" hidden="1">
      <c r="A351" s="366" t="s">
        <v>353</v>
      </c>
      <c r="B351" s="373">
        <v>968</v>
      </c>
      <c r="C351" s="373">
        <v>503</v>
      </c>
      <c r="D351" s="373" t="s">
        <v>412</v>
      </c>
      <c r="E351" s="373">
        <v>599</v>
      </c>
      <c r="F351" s="379"/>
      <c r="G351" s="379">
        <v>226</v>
      </c>
      <c r="H351" s="2377">
        <f aca="true" t="shared" si="52" ref="H351:H356">SUM(I351:L351)</f>
        <v>0</v>
      </c>
      <c r="I351" s="2377">
        <v>0</v>
      </c>
      <c r="J351" s="2398">
        <v>0</v>
      </c>
      <c r="K351" s="2377">
        <v>0</v>
      </c>
      <c r="L351" s="2377">
        <v>0</v>
      </c>
      <c r="M351" s="912"/>
      <c r="N351" s="912"/>
    </row>
    <row r="352" spans="1:14" ht="12.75">
      <c r="A352" s="363" t="s">
        <v>354</v>
      </c>
      <c r="B352" s="127">
        <v>968</v>
      </c>
      <c r="C352" s="127">
        <v>503</v>
      </c>
      <c r="D352" s="127" t="s">
        <v>412</v>
      </c>
      <c r="E352" s="127">
        <v>500</v>
      </c>
      <c r="F352" s="377">
        <v>244</v>
      </c>
      <c r="G352" s="652">
        <v>300</v>
      </c>
      <c r="H352" s="1683">
        <f t="shared" si="52"/>
        <v>1579.019</v>
      </c>
      <c r="I352" s="1683">
        <f>I353</f>
        <v>0</v>
      </c>
      <c r="J352" s="2431">
        <f>J353</f>
        <v>100</v>
      </c>
      <c r="K352" s="1683">
        <f>K353</f>
        <v>1479.019</v>
      </c>
      <c r="L352" s="1683">
        <f>L353</f>
        <v>0</v>
      </c>
      <c r="M352" s="912"/>
      <c r="N352" s="912"/>
    </row>
    <row r="353" spans="1:14" ht="12.75">
      <c r="A353" s="366" t="s">
        <v>260</v>
      </c>
      <c r="B353" s="373">
        <v>968</v>
      </c>
      <c r="C353" s="373">
        <v>503</v>
      </c>
      <c r="D353" s="373" t="s">
        <v>412</v>
      </c>
      <c r="E353" s="373">
        <v>500</v>
      </c>
      <c r="F353" s="379">
        <v>244</v>
      </c>
      <c r="G353" s="379">
        <v>310</v>
      </c>
      <c r="H353" s="1683">
        <f t="shared" si="52"/>
        <v>1579.019</v>
      </c>
      <c r="I353" s="1683">
        <v>0</v>
      </c>
      <c r="J353" s="2431">
        <f>100</f>
        <v>100</v>
      </c>
      <c r="K353" s="1683">
        <f>1786.747-307.728</f>
        <v>1479.019</v>
      </c>
      <c r="L353" s="1683">
        <v>0</v>
      </c>
      <c r="M353" s="912"/>
      <c r="N353" s="912"/>
    </row>
    <row r="354" spans="1:14" ht="36" customHeight="1">
      <c r="A354" s="388" t="s">
        <v>1294</v>
      </c>
      <c r="B354" s="130">
        <v>968</v>
      </c>
      <c r="C354" s="130">
        <v>503</v>
      </c>
      <c r="D354" s="130" t="s">
        <v>414</v>
      </c>
      <c r="E354" s="130"/>
      <c r="F354" s="387"/>
      <c r="G354" s="387"/>
      <c r="H354" s="715">
        <f t="shared" si="52"/>
        <v>673.738</v>
      </c>
      <c r="I354" s="715">
        <f aca="true" t="shared" si="53" ref="I354:L355">I355</f>
        <v>90</v>
      </c>
      <c r="J354" s="715">
        <f t="shared" si="53"/>
        <v>140</v>
      </c>
      <c r="K354" s="715">
        <f t="shared" si="53"/>
        <v>413.738</v>
      </c>
      <c r="L354" s="715">
        <f t="shared" si="53"/>
        <v>30</v>
      </c>
      <c r="M354" s="912"/>
      <c r="N354" s="912"/>
    </row>
    <row r="355" spans="1:14" ht="16.5" customHeight="1">
      <c r="A355" s="385" t="s">
        <v>1186</v>
      </c>
      <c r="B355" s="1701">
        <v>968</v>
      </c>
      <c r="C355" s="1701">
        <v>503</v>
      </c>
      <c r="D355" s="1701" t="s">
        <v>414</v>
      </c>
      <c r="E355" s="1701">
        <v>500</v>
      </c>
      <c r="F355" s="1702">
        <v>200</v>
      </c>
      <c r="G355" s="387"/>
      <c r="H355" s="715">
        <f t="shared" si="52"/>
        <v>673.738</v>
      </c>
      <c r="I355" s="715">
        <f t="shared" si="53"/>
        <v>90</v>
      </c>
      <c r="J355" s="715">
        <f t="shared" si="53"/>
        <v>140</v>
      </c>
      <c r="K355" s="715">
        <f t="shared" si="53"/>
        <v>413.738</v>
      </c>
      <c r="L355" s="715">
        <f t="shared" si="53"/>
        <v>30</v>
      </c>
      <c r="M355" s="912"/>
      <c r="N355" s="912"/>
    </row>
    <row r="356" spans="1:14" ht="12.75">
      <c r="A356" s="1161" t="s">
        <v>1063</v>
      </c>
      <c r="B356" s="1168">
        <v>968</v>
      </c>
      <c r="C356" s="1168">
        <v>503</v>
      </c>
      <c r="D356" s="1168" t="s">
        <v>414</v>
      </c>
      <c r="E356" s="1168">
        <v>500</v>
      </c>
      <c r="F356" s="1162">
        <v>244</v>
      </c>
      <c r="G356" s="1162"/>
      <c r="H356" s="1169">
        <f t="shared" si="52"/>
        <v>673.738</v>
      </c>
      <c r="I356" s="1169">
        <f>I357+I360</f>
        <v>90</v>
      </c>
      <c r="J356" s="1169">
        <f>J357+J360</f>
        <v>140</v>
      </c>
      <c r="K356" s="1169">
        <f>K357+K360</f>
        <v>413.738</v>
      </c>
      <c r="L356" s="1169">
        <f>L357+L360</f>
        <v>30</v>
      </c>
      <c r="M356" s="912"/>
      <c r="N356" s="912"/>
    </row>
    <row r="357" spans="1:14" ht="12.75">
      <c r="A357" s="363" t="s">
        <v>350</v>
      </c>
      <c r="B357" s="127">
        <v>968</v>
      </c>
      <c r="C357" s="127">
        <v>503</v>
      </c>
      <c r="D357" s="127" t="s">
        <v>414</v>
      </c>
      <c r="E357" s="127">
        <v>500</v>
      </c>
      <c r="F357" s="377">
        <v>244</v>
      </c>
      <c r="G357" s="377">
        <v>200</v>
      </c>
      <c r="H357" s="1685">
        <f>SUM(H358:H359)</f>
        <v>400</v>
      </c>
      <c r="I357" s="1685">
        <f>SUM(I358:I359)</f>
        <v>90</v>
      </c>
      <c r="J357" s="1685">
        <f>SUM(J358:J359)</f>
        <v>140</v>
      </c>
      <c r="K357" s="1685">
        <f>SUM(K358:K359)</f>
        <v>140</v>
      </c>
      <c r="L357" s="1685">
        <f>SUM(L358:L359)</f>
        <v>30</v>
      </c>
      <c r="M357" s="912"/>
      <c r="N357" s="912"/>
    </row>
    <row r="358" spans="1:14" ht="12.75">
      <c r="A358" s="366" t="s">
        <v>352</v>
      </c>
      <c r="B358" s="373">
        <v>968</v>
      </c>
      <c r="C358" s="373">
        <v>503</v>
      </c>
      <c r="D358" s="373" t="s">
        <v>414</v>
      </c>
      <c r="E358" s="373">
        <v>500</v>
      </c>
      <c r="F358" s="379">
        <v>244</v>
      </c>
      <c r="G358" s="379">
        <v>225</v>
      </c>
      <c r="H358" s="1683">
        <f>SUM(I358:L358)</f>
        <v>280</v>
      </c>
      <c r="I358" s="1683">
        <f>60</f>
        <v>60</v>
      </c>
      <c r="J358" s="2431">
        <f>110</f>
        <v>110</v>
      </c>
      <c r="K358" s="1683">
        <v>110</v>
      </c>
      <c r="L358" s="1683">
        <v>0</v>
      </c>
      <c r="M358" s="912"/>
      <c r="N358" s="912"/>
    </row>
    <row r="359" spans="1:14" ht="12.75">
      <c r="A359" s="366" t="s">
        <v>353</v>
      </c>
      <c r="B359" s="373">
        <v>968</v>
      </c>
      <c r="C359" s="373">
        <v>503</v>
      </c>
      <c r="D359" s="373" t="s">
        <v>414</v>
      </c>
      <c r="E359" s="373">
        <v>500</v>
      </c>
      <c r="F359" s="379">
        <v>244</v>
      </c>
      <c r="G359" s="379">
        <v>226</v>
      </c>
      <c r="H359" s="1683">
        <f>SUM(I359:L359)</f>
        <v>120</v>
      </c>
      <c r="I359" s="1683">
        <v>30</v>
      </c>
      <c r="J359" s="2431">
        <v>30</v>
      </c>
      <c r="K359" s="1683">
        <v>30</v>
      </c>
      <c r="L359" s="1683">
        <v>30</v>
      </c>
      <c r="M359" s="912"/>
      <c r="N359" s="912"/>
    </row>
    <row r="360" spans="1:14" ht="17.25" customHeight="1">
      <c r="A360" s="363" t="s">
        <v>354</v>
      </c>
      <c r="B360" s="127">
        <v>968</v>
      </c>
      <c r="C360" s="127">
        <v>503</v>
      </c>
      <c r="D360" s="127" t="s">
        <v>414</v>
      </c>
      <c r="E360" s="127">
        <v>500</v>
      </c>
      <c r="F360" s="377">
        <v>244</v>
      </c>
      <c r="G360" s="652">
        <v>300</v>
      </c>
      <c r="H360" s="2433">
        <f>SUM(I360:L360)</f>
        <v>273.738</v>
      </c>
      <c r="I360" s="2433">
        <f>I361</f>
        <v>0</v>
      </c>
      <c r="J360" s="2434">
        <f>J361</f>
        <v>0</v>
      </c>
      <c r="K360" s="2433">
        <f>K361</f>
        <v>273.738</v>
      </c>
      <c r="L360" s="2433">
        <f>L361</f>
        <v>0</v>
      </c>
      <c r="M360" s="912"/>
      <c r="N360" s="912"/>
    </row>
    <row r="361" spans="1:14" ht="15.75" customHeight="1">
      <c r="A361" s="366" t="s">
        <v>260</v>
      </c>
      <c r="B361" s="373">
        <v>968</v>
      </c>
      <c r="C361" s="373">
        <v>503</v>
      </c>
      <c r="D361" s="373" t="s">
        <v>414</v>
      </c>
      <c r="E361" s="373">
        <v>500</v>
      </c>
      <c r="F361" s="379">
        <v>244</v>
      </c>
      <c r="G361" s="379">
        <v>310</v>
      </c>
      <c r="H361" s="2435">
        <f>SUM(I361:L361)</f>
        <v>273.738</v>
      </c>
      <c r="I361" s="2435">
        <v>0</v>
      </c>
      <c r="J361" s="2436">
        <v>0</v>
      </c>
      <c r="K361" s="2435">
        <v>273.738</v>
      </c>
      <c r="L361" s="2435">
        <v>0</v>
      </c>
      <c r="M361" s="912"/>
      <c r="N361" s="912"/>
    </row>
    <row r="362" spans="1:14" ht="25.5" customHeight="1">
      <c r="A362" s="1652" t="s">
        <v>1023</v>
      </c>
      <c r="B362" s="137">
        <v>968</v>
      </c>
      <c r="C362" s="137">
        <v>503</v>
      </c>
      <c r="D362" s="137" t="s">
        <v>418</v>
      </c>
      <c r="E362" s="137"/>
      <c r="F362" s="380"/>
      <c r="G362" s="380"/>
      <c r="H362" s="726">
        <f>H363+H370+H374</f>
        <v>350</v>
      </c>
      <c r="I362" s="726">
        <f>I363+I370+I374</f>
        <v>0</v>
      </c>
      <c r="J362" s="726">
        <f>J363+J370+J374</f>
        <v>200</v>
      </c>
      <c r="K362" s="726">
        <f>K363+K370+K374</f>
        <v>150</v>
      </c>
      <c r="L362" s="726">
        <f>L363+L370+L374</f>
        <v>0</v>
      </c>
      <c r="M362" s="912"/>
      <c r="N362" s="912"/>
    </row>
    <row r="363" spans="1:14" ht="15.75" customHeight="1" hidden="1">
      <c r="A363" s="388" t="s">
        <v>462</v>
      </c>
      <c r="B363" s="130">
        <v>968</v>
      </c>
      <c r="C363" s="130">
        <v>503</v>
      </c>
      <c r="D363" s="130" t="s">
        <v>463</v>
      </c>
      <c r="E363" s="130"/>
      <c r="F363" s="387"/>
      <c r="G363" s="387"/>
      <c r="H363" s="715">
        <f aca="true" t="shared" si="54" ref="H363:H369">SUM(I363:L363)</f>
        <v>0</v>
      </c>
      <c r="I363" s="715">
        <f aca="true" t="shared" si="55" ref="I363:L364">I364</f>
        <v>0</v>
      </c>
      <c r="J363" s="715">
        <f t="shared" si="55"/>
        <v>0</v>
      </c>
      <c r="K363" s="715">
        <f t="shared" si="55"/>
        <v>0</v>
      </c>
      <c r="L363" s="715">
        <f t="shared" si="55"/>
        <v>0</v>
      </c>
      <c r="M363" s="912"/>
      <c r="N363" s="912"/>
    </row>
    <row r="364" spans="1:14" ht="15.75" customHeight="1" hidden="1">
      <c r="A364" s="385" t="s">
        <v>1186</v>
      </c>
      <c r="B364" s="1701">
        <v>968</v>
      </c>
      <c r="C364" s="1701">
        <v>503</v>
      </c>
      <c r="D364" s="1701" t="s">
        <v>463</v>
      </c>
      <c r="E364" s="1701">
        <v>500</v>
      </c>
      <c r="F364" s="1702">
        <v>200</v>
      </c>
      <c r="G364" s="387"/>
      <c r="H364" s="715">
        <f>SUM(I364:L364)</f>
        <v>0</v>
      </c>
      <c r="I364" s="715">
        <f t="shared" si="55"/>
        <v>0</v>
      </c>
      <c r="J364" s="715">
        <f t="shared" si="55"/>
        <v>0</v>
      </c>
      <c r="K364" s="715">
        <f t="shared" si="55"/>
        <v>0</v>
      </c>
      <c r="L364" s="715">
        <f t="shared" si="55"/>
        <v>0</v>
      </c>
      <c r="M364" s="912"/>
      <c r="N364" s="912"/>
    </row>
    <row r="365" spans="1:14" ht="12.75" hidden="1">
      <c r="A365" s="1161" t="s">
        <v>1063</v>
      </c>
      <c r="B365" s="1168">
        <v>968</v>
      </c>
      <c r="C365" s="1168">
        <v>503</v>
      </c>
      <c r="D365" s="1168" t="s">
        <v>463</v>
      </c>
      <c r="E365" s="1168">
        <v>500</v>
      </c>
      <c r="F365" s="1162">
        <v>244</v>
      </c>
      <c r="G365" s="1162"/>
      <c r="H365" s="1169">
        <f t="shared" si="54"/>
        <v>0</v>
      </c>
      <c r="I365" s="1169">
        <f>I366+I368</f>
        <v>0</v>
      </c>
      <c r="J365" s="1169">
        <f>J366+J368</f>
        <v>0</v>
      </c>
      <c r="K365" s="1169">
        <f>K366+K368</f>
        <v>0</v>
      </c>
      <c r="L365" s="1169">
        <f>L366+L368</f>
        <v>0</v>
      </c>
      <c r="M365" s="912"/>
      <c r="N365" s="912"/>
    </row>
    <row r="366" spans="1:14" ht="12.75" hidden="1">
      <c r="A366" s="363" t="s">
        <v>350</v>
      </c>
      <c r="B366" s="127">
        <v>968</v>
      </c>
      <c r="C366" s="127">
        <v>503</v>
      </c>
      <c r="D366" s="127" t="s">
        <v>463</v>
      </c>
      <c r="E366" s="127">
        <v>500</v>
      </c>
      <c r="F366" s="377">
        <v>244</v>
      </c>
      <c r="G366" s="377">
        <v>200</v>
      </c>
      <c r="H366" s="1685">
        <f t="shared" si="54"/>
        <v>0</v>
      </c>
      <c r="I366" s="1685">
        <f>I367</f>
        <v>0</v>
      </c>
      <c r="J366" s="2432">
        <f>J367</f>
        <v>0</v>
      </c>
      <c r="K366" s="1685">
        <f>K367</f>
        <v>0</v>
      </c>
      <c r="L366" s="1685">
        <f>L367</f>
        <v>0</v>
      </c>
      <c r="M366" s="912"/>
      <c r="N366" s="912"/>
    </row>
    <row r="367" spans="1:14" ht="12.75" hidden="1">
      <c r="A367" s="366" t="s">
        <v>353</v>
      </c>
      <c r="B367" s="373">
        <v>968</v>
      </c>
      <c r="C367" s="373">
        <v>503</v>
      </c>
      <c r="D367" s="373" t="s">
        <v>463</v>
      </c>
      <c r="E367" s="373">
        <v>500</v>
      </c>
      <c r="F367" s="379">
        <v>244</v>
      </c>
      <c r="G367" s="379">
        <v>226</v>
      </c>
      <c r="H367" s="1683">
        <f t="shared" si="54"/>
        <v>0</v>
      </c>
      <c r="I367" s="1683">
        <v>0</v>
      </c>
      <c r="J367" s="2431">
        <f>5.4-5.4</f>
        <v>0</v>
      </c>
      <c r="K367" s="1683">
        <v>0</v>
      </c>
      <c r="L367" s="1683">
        <v>0</v>
      </c>
      <c r="M367" s="912"/>
      <c r="N367" s="912"/>
    </row>
    <row r="368" spans="1:14" ht="12.75" hidden="1">
      <c r="A368" s="363" t="s">
        <v>354</v>
      </c>
      <c r="B368" s="127">
        <v>968</v>
      </c>
      <c r="C368" s="127">
        <v>503</v>
      </c>
      <c r="D368" s="127" t="s">
        <v>463</v>
      </c>
      <c r="E368" s="127">
        <v>500</v>
      </c>
      <c r="F368" s="377">
        <v>244</v>
      </c>
      <c r="G368" s="652">
        <v>300</v>
      </c>
      <c r="H368" s="2437">
        <f t="shared" si="54"/>
        <v>0</v>
      </c>
      <c r="I368" s="2437">
        <f>I369</f>
        <v>0</v>
      </c>
      <c r="J368" s="2438">
        <f>J369</f>
        <v>0</v>
      </c>
      <c r="K368" s="2437">
        <f>K369</f>
        <v>0</v>
      </c>
      <c r="L368" s="2437">
        <f>L369</f>
        <v>0</v>
      </c>
      <c r="M368" s="912"/>
      <c r="N368" s="912"/>
    </row>
    <row r="369" spans="1:14" ht="12.75" hidden="1">
      <c r="A369" s="366" t="s">
        <v>260</v>
      </c>
      <c r="B369" s="373">
        <v>968</v>
      </c>
      <c r="C369" s="373">
        <v>503</v>
      </c>
      <c r="D369" s="373" t="s">
        <v>463</v>
      </c>
      <c r="E369" s="373">
        <v>500</v>
      </c>
      <c r="F369" s="379">
        <v>244</v>
      </c>
      <c r="G369" s="379">
        <v>310</v>
      </c>
      <c r="H369" s="1683">
        <f t="shared" si="54"/>
        <v>0</v>
      </c>
      <c r="I369" s="1683">
        <v>0</v>
      </c>
      <c r="J369" s="2431">
        <f>300-96.804-203.196</f>
        <v>0</v>
      </c>
      <c r="K369" s="1683">
        <v>0</v>
      </c>
      <c r="L369" s="1683">
        <v>0</v>
      </c>
      <c r="M369" s="912"/>
      <c r="N369" s="912"/>
    </row>
    <row r="370" spans="1:14" ht="14.25" customHeight="1" hidden="1">
      <c r="A370" s="388" t="s">
        <v>464</v>
      </c>
      <c r="B370" s="361">
        <v>968</v>
      </c>
      <c r="C370" s="361">
        <v>503</v>
      </c>
      <c r="D370" s="361" t="str">
        <f>D371</f>
        <v>600 02 03</v>
      </c>
      <c r="E370" s="361"/>
      <c r="F370" s="389"/>
      <c r="G370" s="389"/>
      <c r="H370" s="2439">
        <f aca="true" t="shared" si="56" ref="H370:L372">H371</f>
        <v>0</v>
      </c>
      <c r="I370" s="2439">
        <f t="shared" si="56"/>
        <v>0</v>
      </c>
      <c r="J370" s="2440">
        <f aca="true" t="shared" si="57" ref="J370:K372">J371</f>
        <v>0</v>
      </c>
      <c r="K370" s="2439">
        <f t="shared" si="57"/>
        <v>0</v>
      </c>
      <c r="L370" s="2439">
        <f t="shared" si="56"/>
        <v>0</v>
      </c>
      <c r="M370" s="912"/>
      <c r="N370" s="912"/>
    </row>
    <row r="371" spans="1:14" ht="12.75" customHeight="1" hidden="1">
      <c r="A371" s="1161" t="s">
        <v>1063</v>
      </c>
      <c r="B371" s="1168">
        <v>968</v>
      </c>
      <c r="C371" s="1168">
        <v>503</v>
      </c>
      <c r="D371" s="1168" t="str">
        <f>D372</f>
        <v>600 02 03</v>
      </c>
      <c r="E371" s="1168">
        <v>500</v>
      </c>
      <c r="F371" s="1162">
        <v>244</v>
      </c>
      <c r="G371" s="1162"/>
      <c r="H371" s="1169">
        <f t="shared" si="56"/>
        <v>0</v>
      </c>
      <c r="I371" s="1169">
        <f t="shared" si="56"/>
        <v>0</v>
      </c>
      <c r="J371" s="2430">
        <f t="shared" si="57"/>
        <v>0</v>
      </c>
      <c r="K371" s="1169">
        <f t="shared" si="57"/>
        <v>0</v>
      </c>
      <c r="L371" s="1169">
        <f t="shared" si="56"/>
        <v>0</v>
      </c>
      <c r="M371" s="912"/>
      <c r="N371" s="912"/>
    </row>
    <row r="372" spans="1:14" ht="12.75" hidden="1">
      <c r="A372" s="363" t="s">
        <v>350</v>
      </c>
      <c r="B372" s="127">
        <v>968</v>
      </c>
      <c r="C372" s="127">
        <v>503</v>
      </c>
      <c r="D372" s="127" t="str">
        <f>D373</f>
        <v>600 02 03</v>
      </c>
      <c r="E372" s="127">
        <v>500</v>
      </c>
      <c r="F372" s="377">
        <v>244</v>
      </c>
      <c r="G372" s="377">
        <v>200</v>
      </c>
      <c r="H372" s="1685">
        <f t="shared" si="56"/>
        <v>0</v>
      </c>
      <c r="I372" s="1685">
        <f t="shared" si="56"/>
        <v>0</v>
      </c>
      <c r="J372" s="2432">
        <f t="shared" si="57"/>
        <v>0</v>
      </c>
      <c r="K372" s="1685">
        <f t="shared" si="57"/>
        <v>0</v>
      </c>
      <c r="L372" s="1685">
        <f t="shared" si="56"/>
        <v>0</v>
      </c>
      <c r="M372" s="912"/>
      <c r="N372" s="912"/>
    </row>
    <row r="373" spans="1:14" ht="12.75" hidden="1">
      <c r="A373" s="366" t="s">
        <v>353</v>
      </c>
      <c r="B373" s="373">
        <v>968</v>
      </c>
      <c r="C373" s="373">
        <v>503</v>
      </c>
      <c r="D373" s="373" t="s">
        <v>395</v>
      </c>
      <c r="E373" s="373">
        <v>500</v>
      </c>
      <c r="F373" s="379">
        <v>244</v>
      </c>
      <c r="G373" s="379">
        <v>226</v>
      </c>
      <c r="H373" s="1683">
        <f>SUM(I373:L373)</f>
        <v>0</v>
      </c>
      <c r="I373" s="1683">
        <v>0</v>
      </c>
      <c r="J373" s="2431">
        <f>250-250</f>
        <v>0</v>
      </c>
      <c r="K373" s="1683">
        <v>0</v>
      </c>
      <c r="L373" s="1683">
        <v>0</v>
      </c>
      <c r="M373" s="912"/>
      <c r="N373" s="912"/>
    </row>
    <row r="374" spans="1:14" ht="27" customHeight="1">
      <c r="A374" s="388" t="s">
        <v>1293</v>
      </c>
      <c r="B374" s="130">
        <v>968</v>
      </c>
      <c r="C374" s="130">
        <v>503</v>
      </c>
      <c r="D374" s="130" t="str">
        <f>D376</f>
        <v>600 02 04</v>
      </c>
      <c r="E374" s="130"/>
      <c r="F374" s="387"/>
      <c r="G374" s="387"/>
      <c r="H374" s="715">
        <f>H376</f>
        <v>350</v>
      </c>
      <c r="I374" s="715">
        <f aca="true" t="shared" si="58" ref="I374:L375">I375</f>
        <v>0</v>
      </c>
      <c r="J374" s="715">
        <f t="shared" si="58"/>
        <v>200</v>
      </c>
      <c r="K374" s="715">
        <f t="shared" si="58"/>
        <v>150</v>
      </c>
      <c r="L374" s="715">
        <f t="shared" si="58"/>
        <v>0</v>
      </c>
      <c r="M374" s="912"/>
      <c r="N374" s="912"/>
    </row>
    <row r="375" spans="1:14" ht="15" customHeight="1">
      <c r="A375" s="385" t="s">
        <v>1186</v>
      </c>
      <c r="B375" s="1701">
        <v>968</v>
      </c>
      <c r="C375" s="1701">
        <v>503</v>
      </c>
      <c r="D375" s="1701" t="str">
        <f>D376</f>
        <v>600 02 04</v>
      </c>
      <c r="E375" s="1701">
        <v>500</v>
      </c>
      <c r="F375" s="1702">
        <v>200</v>
      </c>
      <c r="G375" s="387"/>
      <c r="H375" s="715">
        <f>SUM(I375:L375)</f>
        <v>350</v>
      </c>
      <c r="I375" s="715">
        <f t="shared" si="58"/>
        <v>0</v>
      </c>
      <c r="J375" s="715">
        <f t="shared" si="58"/>
        <v>200</v>
      </c>
      <c r="K375" s="715">
        <f t="shared" si="58"/>
        <v>150</v>
      </c>
      <c r="L375" s="715">
        <f t="shared" si="58"/>
        <v>0</v>
      </c>
      <c r="M375" s="912"/>
      <c r="N375" s="912"/>
    </row>
    <row r="376" spans="1:14" ht="15.75" customHeight="1">
      <c r="A376" s="1161" t="s">
        <v>1063</v>
      </c>
      <c r="B376" s="1168">
        <v>968</v>
      </c>
      <c r="C376" s="1168">
        <v>503</v>
      </c>
      <c r="D376" s="1168" t="str">
        <f>D377</f>
        <v>600 02 04</v>
      </c>
      <c r="E376" s="1168">
        <v>500</v>
      </c>
      <c r="F376" s="1162">
        <v>244</v>
      </c>
      <c r="G376" s="1162"/>
      <c r="H376" s="1169">
        <f>H377+H380</f>
        <v>350</v>
      </c>
      <c r="I376" s="1169">
        <f>I377+I380</f>
        <v>0</v>
      </c>
      <c r="J376" s="2430">
        <f>J377+J380</f>
        <v>200</v>
      </c>
      <c r="K376" s="1169">
        <f>K377+K380</f>
        <v>150</v>
      </c>
      <c r="L376" s="1169">
        <f>L377+L380</f>
        <v>0</v>
      </c>
      <c r="M376" s="912"/>
      <c r="N376" s="912"/>
    </row>
    <row r="377" spans="1:14" ht="12.75">
      <c r="A377" s="363" t="s">
        <v>350</v>
      </c>
      <c r="B377" s="127">
        <v>968</v>
      </c>
      <c r="C377" s="127">
        <v>503</v>
      </c>
      <c r="D377" s="127" t="str">
        <f>D379</f>
        <v>600 02 04</v>
      </c>
      <c r="E377" s="127">
        <v>500</v>
      </c>
      <c r="F377" s="377">
        <v>244</v>
      </c>
      <c r="G377" s="377">
        <v>200</v>
      </c>
      <c r="H377" s="1685">
        <f>SUM(H378:H379)</f>
        <v>300</v>
      </c>
      <c r="I377" s="1685">
        <f>SUM(I378:I379)</f>
        <v>0</v>
      </c>
      <c r="J377" s="1685">
        <f>SUM(J378:J379)</f>
        <v>150</v>
      </c>
      <c r="K377" s="1685">
        <f>SUM(K378:K379)</f>
        <v>150</v>
      </c>
      <c r="L377" s="1685">
        <f>SUM(L378:L379)</f>
        <v>0</v>
      </c>
      <c r="M377" s="912"/>
      <c r="N377" s="912"/>
    </row>
    <row r="378" spans="1:14" ht="12.75" hidden="1">
      <c r="A378" s="366" t="s">
        <v>352</v>
      </c>
      <c r="B378" s="373">
        <v>968</v>
      </c>
      <c r="C378" s="373">
        <v>503</v>
      </c>
      <c r="D378" s="373" t="str">
        <f>D379</f>
        <v>600 02 04</v>
      </c>
      <c r="E378" s="373">
        <v>500</v>
      </c>
      <c r="F378" s="379">
        <v>244</v>
      </c>
      <c r="G378" s="379">
        <v>225</v>
      </c>
      <c r="H378" s="1685">
        <f>SUM(I378:L378)</f>
        <v>0</v>
      </c>
      <c r="I378" s="1685">
        <v>0</v>
      </c>
      <c r="J378" s="2432">
        <v>0</v>
      </c>
      <c r="K378" s="1685">
        <v>0</v>
      </c>
      <c r="L378" s="1685">
        <v>0</v>
      </c>
      <c r="M378" s="912"/>
      <c r="N378" s="912"/>
    </row>
    <row r="379" spans="1:14" ht="12.75">
      <c r="A379" s="366" t="s">
        <v>353</v>
      </c>
      <c r="B379" s="373">
        <v>968</v>
      </c>
      <c r="C379" s="373">
        <v>503</v>
      </c>
      <c r="D379" s="373" t="str">
        <f>D380</f>
        <v>600 02 04</v>
      </c>
      <c r="E379" s="373">
        <v>500</v>
      </c>
      <c r="F379" s="379">
        <v>244</v>
      </c>
      <c r="G379" s="379">
        <v>226</v>
      </c>
      <c r="H379" s="1683">
        <f>SUM(I379:L379)</f>
        <v>300</v>
      </c>
      <c r="I379" s="1683">
        <v>0</v>
      </c>
      <c r="J379" s="2431">
        <f>50+100</f>
        <v>150</v>
      </c>
      <c r="K379" s="1683">
        <f>100+50</f>
        <v>150</v>
      </c>
      <c r="L379" s="1683">
        <f>150-150</f>
        <v>0</v>
      </c>
      <c r="M379" s="912"/>
      <c r="N379" s="912"/>
    </row>
    <row r="380" spans="1:14" ht="12.75">
      <c r="A380" s="363" t="s">
        <v>354</v>
      </c>
      <c r="B380" s="127">
        <v>968</v>
      </c>
      <c r="C380" s="127">
        <v>503</v>
      </c>
      <c r="D380" s="127" t="str">
        <f>D381</f>
        <v>600 02 04</v>
      </c>
      <c r="E380" s="127">
        <v>500</v>
      </c>
      <c r="F380" s="377">
        <v>244</v>
      </c>
      <c r="G380" s="377">
        <v>300</v>
      </c>
      <c r="H380" s="1685">
        <f>H381</f>
        <v>50</v>
      </c>
      <c r="I380" s="1685">
        <f>I381</f>
        <v>0</v>
      </c>
      <c r="J380" s="2432">
        <f>J381</f>
        <v>50</v>
      </c>
      <c r="K380" s="1685">
        <f>K381</f>
        <v>0</v>
      </c>
      <c r="L380" s="1685">
        <f>L381</f>
        <v>0</v>
      </c>
      <c r="M380" s="912"/>
      <c r="N380" s="912"/>
    </row>
    <row r="381" spans="1:14" ht="12.75">
      <c r="A381" s="366" t="s">
        <v>261</v>
      </c>
      <c r="B381" s="373">
        <v>968</v>
      </c>
      <c r="C381" s="373">
        <v>503</v>
      </c>
      <c r="D381" s="373" t="s">
        <v>1024</v>
      </c>
      <c r="E381" s="373">
        <v>500</v>
      </c>
      <c r="F381" s="379">
        <v>244</v>
      </c>
      <c r="G381" s="379">
        <v>340</v>
      </c>
      <c r="H381" s="1683">
        <f>SUM(I381:L381)</f>
        <v>50</v>
      </c>
      <c r="I381" s="1683">
        <f>100-100</f>
        <v>0</v>
      </c>
      <c r="J381" s="2431">
        <f>50</f>
        <v>50</v>
      </c>
      <c r="K381" s="1683">
        <f>100-100</f>
        <v>0</v>
      </c>
      <c r="L381" s="1683">
        <f>50-50</f>
        <v>0</v>
      </c>
      <c r="M381" s="912"/>
      <c r="N381" s="912"/>
    </row>
    <row r="382" spans="1:14" ht="14.25" customHeight="1">
      <c r="A382" s="385" t="s">
        <v>711</v>
      </c>
      <c r="B382" s="137">
        <v>968</v>
      </c>
      <c r="C382" s="137">
        <v>503</v>
      </c>
      <c r="D382" s="137" t="s">
        <v>712</v>
      </c>
      <c r="E382" s="137"/>
      <c r="F382" s="380"/>
      <c r="G382" s="380"/>
      <c r="H382" s="726">
        <f>H383+H393+H405+H400</f>
        <v>8005.506</v>
      </c>
      <c r="I382" s="726">
        <f>I383+I393+I405+I400</f>
        <v>207.39800000000002</v>
      </c>
      <c r="J382" s="726">
        <f>J383+J393+J405+J400</f>
        <v>2651.1600000000003</v>
      </c>
      <c r="K382" s="726">
        <f>K383+K393+K405+K400</f>
        <v>4736.649</v>
      </c>
      <c r="L382" s="726">
        <f>L383+L393+L405+L400</f>
        <v>410.299</v>
      </c>
      <c r="M382" s="912"/>
      <c r="N382" s="912"/>
    </row>
    <row r="383" spans="1:14" ht="21.75" customHeight="1">
      <c r="A383" s="388" t="s">
        <v>1295</v>
      </c>
      <c r="B383" s="130">
        <v>968</v>
      </c>
      <c r="C383" s="130">
        <v>503</v>
      </c>
      <c r="D383" s="130" t="s">
        <v>709</v>
      </c>
      <c r="E383" s="130"/>
      <c r="F383" s="387"/>
      <c r="G383" s="387"/>
      <c r="H383" s="715">
        <f>SUM(I383:L383)</f>
        <v>7555.506</v>
      </c>
      <c r="I383" s="715">
        <f aca="true" t="shared" si="59" ref="I383:L384">I384</f>
        <v>207.39800000000002</v>
      </c>
      <c r="J383" s="715">
        <f t="shared" si="59"/>
        <v>2351.1600000000003</v>
      </c>
      <c r="K383" s="715">
        <f t="shared" si="59"/>
        <v>4736.649</v>
      </c>
      <c r="L383" s="715">
        <f t="shared" si="59"/>
        <v>260.299</v>
      </c>
      <c r="M383" s="912"/>
      <c r="N383" s="912"/>
    </row>
    <row r="384" spans="1:14" ht="15.75" customHeight="1">
      <c r="A384" s="385" t="s">
        <v>1186</v>
      </c>
      <c r="B384" s="1701">
        <v>968</v>
      </c>
      <c r="C384" s="1701">
        <v>503</v>
      </c>
      <c r="D384" s="1701" t="s">
        <v>709</v>
      </c>
      <c r="E384" s="1701">
        <v>500</v>
      </c>
      <c r="F384" s="1702">
        <v>200</v>
      </c>
      <c r="G384" s="387"/>
      <c r="H384" s="715">
        <f>SUM(I384:L384)</f>
        <v>7555.506</v>
      </c>
      <c r="I384" s="715">
        <f t="shared" si="59"/>
        <v>207.39800000000002</v>
      </c>
      <c r="J384" s="715">
        <f t="shared" si="59"/>
        <v>2351.1600000000003</v>
      </c>
      <c r="K384" s="715">
        <f t="shared" si="59"/>
        <v>4736.649</v>
      </c>
      <c r="L384" s="715">
        <f t="shared" si="59"/>
        <v>260.299</v>
      </c>
      <c r="M384" s="912"/>
      <c r="N384" s="912"/>
    </row>
    <row r="385" spans="1:14" ht="13.5" customHeight="1">
      <c r="A385" s="1161" t="s">
        <v>1063</v>
      </c>
      <c r="B385" s="1168">
        <v>968</v>
      </c>
      <c r="C385" s="1168">
        <v>503</v>
      </c>
      <c r="D385" s="1168" t="s">
        <v>709</v>
      </c>
      <c r="E385" s="1168">
        <v>500</v>
      </c>
      <c r="F385" s="1162">
        <v>244</v>
      </c>
      <c r="G385" s="1162"/>
      <c r="H385" s="1169">
        <f>SUM(I385:L385)</f>
        <v>7555.506</v>
      </c>
      <c r="I385" s="1169">
        <f>I386+I391</f>
        <v>207.39800000000002</v>
      </c>
      <c r="J385" s="2430">
        <f aca="true" t="shared" si="60" ref="J385:L386">J386</f>
        <v>2351.1600000000003</v>
      </c>
      <c r="K385" s="1169">
        <f t="shared" si="60"/>
        <v>4736.649</v>
      </c>
      <c r="L385" s="1169">
        <f t="shared" si="60"/>
        <v>260.299</v>
      </c>
      <c r="M385" s="912"/>
      <c r="N385" s="912"/>
    </row>
    <row r="386" spans="1:14" ht="12.75">
      <c r="A386" s="363" t="s">
        <v>350</v>
      </c>
      <c r="B386" s="127">
        <v>968</v>
      </c>
      <c r="C386" s="127">
        <v>503</v>
      </c>
      <c r="D386" s="127" t="s">
        <v>709</v>
      </c>
      <c r="E386" s="127">
        <v>500</v>
      </c>
      <c r="F386" s="377">
        <v>244</v>
      </c>
      <c r="G386" s="377">
        <v>200</v>
      </c>
      <c r="H386" s="1685">
        <f>SUM(I386:L386)</f>
        <v>7555.506</v>
      </c>
      <c r="I386" s="1685">
        <f>I387</f>
        <v>207.39800000000002</v>
      </c>
      <c r="J386" s="2432">
        <f t="shared" si="60"/>
        <v>2351.1600000000003</v>
      </c>
      <c r="K386" s="1685">
        <f t="shared" si="60"/>
        <v>4736.649</v>
      </c>
      <c r="L386" s="1685">
        <f t="shared" si="60"/>
        <v>260.299</v>
      </c>
      <c r="M386" s="912"/>
      <c r="N386" s="912"/>
    </row>
    <row r="387" spans="1:14" ht="15.75" customHeight="1">
      <c r="A387" s="366" t="s">
        <v>353</v>
      </c>
      <c r="B387" s="373">
        <v>968</v>
      </c>
      <c r="C387" s="373">
        <v>503</v>
      </c>
      <c r="D387" s="373" t="s">
        <v>709</v>
      </c>
      <c r="E387" s="373">
        <v>500</v>
      </c>
      <c r="F387" s="379">
        <v>244</v>
      </c>
      <c r="G387" s="379">
        <v>226</v>
      </c>
      <c r="H387" s="1683">
        <f>SUM(I387:L387)</f>
        <v>7555.506</v>
      </c>
      <c r="I387" s="1683">
        <f>467.983-260.585</f>
        <v>207.39800000000002</v>
      </c>
      <c r="J387" s="2431">
        <f>2500+231.693-380.533</f>
        <v>2351.1600000000003</v>
      </c>
      <c r="K387" s="1683">
        <f>3021.383+1334.447+380.819</f>
        <v>4736.649</v>
      </c>
      <c r="L387" s="1683">
        <f>260.299</f>
        <v>260.299</v>
      </c>
      <c r="M387" s="912"/>
      <c r="N387" s="912"/>
    </row>
    <row r="388" spans="1:14" ht="36" customHeight="1" hidden="1">
      <c r="A388" s="363" t="s">
        <v>777</v>
      </c>
      <c r="B388" s="127"/>
      <c r="C388" s="127"/>
      <c r="D388" s="127"/>
      <c r="E388" s="127"/>
      <c r="F388" s="377"/>
      <c r="G388" s="377"/>
      <c r="H388" s="2375"/>
      <c r="I388" s="2375"/>
      <c r="J388" s="2399"/>
      <c r="K388" s="2375"/>
      <c r="L388" s="2375"/>
      <c r="M388" s="912"/>
      <c r="N388" s="912"/>
    </row>
    <row r="389" spans="1:14" ht="12.75" hidden="1">
      <c r="A389" s="363" t="s">
        <v>350</v>
      </c>
      <c r="B389" s="127"/>
      <c r="C389" s="127"/>
      <c r="D389" s="127"/>
      <c r="E389" s="127"/>
      <c r="F389" s="377"/>
      <c r="G389" s="377"/>
      <c r="H389" s="2375"/>
      <c r="I389" s="2375"/>
      <c r="J389" s="2399"/>
      <c r="K389" s="2375"/>
      <c r="L389" s="2375"/>
      <c r="M389" s="912"/>
      <c r="N389" s="912"/>
    </row>
    <row r="390" spans="1:14" ht="14.25" customHeight="1" hidden="1">
      <c r="A390" s="366" t="s">
        <v>353</v>
      </c>
      <c r="B390" s="373"/>
      <c r="C390" s="373"/>
      <c r="D390" s="373"/>
      <c r="E390" s="373"/>
      <c r="F390" s="379"/>
      <c r="G390" s="379"/>
      <c r="H390" s="2377"/>
      <c r="I390" s="2377"/>
      <c r="J390" s="2398"/>
      <c r="K390" s="2377"/>
      <c r="L390" s="2377"/>
      <c r="M390" s="912"/>
      <c r="N390" s="912"/>
    </row>
    <row r="391" spans="1:14" ht="14.25" customHeight="1" hidden="1">
      <c r="A391" s="363" t="s">
        <v>354</v>
      </c>
      <c r="B391" s="127">
        <v>968</v>
      </c>
      <c r="C391" s="127">
        <v>503</v>
      </c>
      <c r="D391" s="127" t="s">
        <v>709</v>
      </c>
      <c r="E391" s="127">
        <v>500</v>
      </c>
      <c r="F391" s="377">
        <v>240</v>
      </c>
      <c r="G391" s="377">
        <v>300</v>
      </c>
      <c r="H391" s="2372">
        <f>H392</f>
        <v>0</v>
      </c>
      <c r="I391" s="2372">
        <f>I392</f>
        <v>0</v>
      </c>
      <c r="J391" s="2400">
        <f>J392</f>
        <v>0</v>
      </c>
      <c r="K391" s="2372">
        <f>K392</f>
        <v>0</v>
      </c>
      <c r="L391" s="2372">
        <f>L392</f>
        <v>0</v>
      </c>
      <c r="M391" s="912"/>
      <c r="N391" s="912"/>
    </row>
    <row r="392" spans="1:14" ht="14.25" customHeight="1" hidden="1">
      <c r="A392" s="366" t="s">
        <v>261</v>
      </c>
      <c r="B392" s="373">
        <v>968</v>
      </c>
      <c r="C392" s="373">
        <v>503</v>
      </c>
      <c r="D392" s="373" t="s">
        <v>709</v>
      </c>
      <c r="E392" s="373">
        <v>500</v>
      </c>
      <c r="F392" s="379">
        <v>240</v>
      </c>
      <c r="G392" s="379">
        <v>340</v>
      </c>
      <c r="H392" s="2377">
        <f aca="true" t="shared" si="61" ref="H392:H397">SUM(I392:L392)</f>
        <v>0</v>
      </c>
      <c r="I392" s="2377">
        <v>0</v>
      </c>
      <c r="J392" s="2398">
        <f>1000+1745-2745</f>
        <v>0</v>
      </c>
      <c r="K392" s="2377">
        <v>0</v>
      </c>
      <c r="L392" s="2377">
        <v>0</v>
      </c>
      <c r="M392" s="912"/>
      <c r="N392" s="912"/>
    </row>
    <row r="393" spans="1:14" ht="27" customHeight="1">
      <c r="A393" s="388" t="s">
        <v>1045</v>
      </c>
      <c r="B393" s="130">
        <v>968</v>
      </c>
      <c r="C393" s="130">
        <v>503</v>
      </c>
      <c r="D393" s="130" t="s">
        <v>713</v>
      </c>
      <c r="E393" s="130"/>
      <c r="F393" s="387"/>
      <c r="G393" s="387"/>
      <c r="H393" s="715">
        <f t="shared" si="61"/>
        <v>300</v>
      </c>
      <c r="I393" s="715">
        <f aca="true" t="shared" si="62" ref="I393:L394">I394</f>
        <v>0</v>
      </c>
      <c r="J393" s="715">
        <f t="shared" si="62"/>
        <v>300</v>
      </c>
      <c r="K393" s="715">
        <f t="shared" si="62"/>
        <v>0</v>
      </c>
      <c r="L393" s="715">
        <f t="shared" si="62"/>
        <v>0</v>
      </c>
      <c r="M393" s="912"/>
      <c r="N393" s="912"/>
    </row>
    <row r="394" spans="1:14" ht="15.75" customHeight="1">
      <c r="A394" s="385" t="s">
        <v>1186</v>
      </c>
      <c r="B394" s="1168">
        <v>968</v>
      </c>
      <c r="C394" s="1168">
        <v>503</v>
      </c>
      <c r="D394" s="1168" t="s">
        <v>713</v>
      </c>
      <c r="E394" s="1168">
        <v>500</v>
      </c>
      <c r="F394" s="1162">
        <v>200</v>
      </c>
      <c r="G394" s="389"/>
      <c r="H394" s="715">
        <f t="shared" si="61"/>
        <v>300</v>
      </c>
      <c r="I394" s="715">
        <f t="shared" si="62"/>
        <v>0</v>
      </c>
      <c r="J394" s="715">
        <f t="shared" si="62"/>
        <v>300</v>
      </c>
      <c r="K394" s="715">
        <f t="shared" si="62"/>
        <v>0</v>
      </c>
      <c r="L394" s="715">
        <f t="shared" si="62"/>
        <v>0</v>
      </c>
      <c r="M394" s="912"/>
      <c r="N394" s="912"/>
    </row>
    <row r="395" spans="1:14" ht="12.75">
      <c r="A395" s="1161" t="s">
        <v>1063</v>
      </c>
      <c r="B395" s="1168">
        <v>968</v>
      </c>
      <c r="C395" s="1168">
        <v>503</v>
      </c>
      <c r="D395" s="1168" t="s">
        <v>713</v>
      </c>
      <c r="E395" s="1168">
        <v>500</v>
      </c>
      <c r="F395" s="1162">
        <v>244</v>
      </c>
      <c r="G395" s="1162"/>
      <c r="H395" s="1169">
        <f t="shared" si="61"/>
        <v>300</v>
      </c>
      <c r="I395" s="1169">
        <f>I396+I398</f>
        <v>0</v>
      </c>
      <c r="J395" s="1169">
        <f>J396</f>
        <v>300</v>
      </c>
      <c r="K395" s="1169">
        <f>K396</f>
        <v>0</v>
      </c>
      <c r="L395" s="1169">
        <f>L396+L398</f>
        <v>0</v>
      </c>
      <c r="M395" s="912"/>
      <c r="N395" s="912"/>
    </row>
    <row r="396" spans="1:14" ht="13.5" customHeight="1">
      <c r="A396" s="363" t="s">
        <v>350</v>
      </c>
      <c r="B396" s="127">
        <v>968</v>
      </c>
      <c r="C396" s="127">
        <v>503</v>
      </c>
      <c r="D396" s="127" t="s">
        <v>713</v>
      </c>
      <c r="E396" s="127">
        <v>500</v>
      </c>
      <c r="F396" s="377">
        <v>244</v>
      </c>
      <c r="G396" s="377">
        <v>200</v>
      </c>
      <c r="H396" s="1683">
        <f t="shared" si="61"/>
        <v>300</v>
      </c>
      <c r="I396" s="1683">
        <f>I397</f>
        <v>0</v>
      </c>
      <c r="J396" s="1683">
        <f>J397</f>
        <v>300</v>
      </c>
      <c r="K396" s="1683">
        <f>K397</f>
        <v>0</v>
      </c>
      <c r="L396" s="1683">
        <f>L397</f>
        <v>0</v>
      </c>
      <c r="M396" s="912"/>
      <c r="N396" s="912"/>
    </row>
    <row r="397" spans="1:14" ht="13.5" customHeight="1">
      <c r="A397" s="366" t="s">
        <v>353</v>
      </c>
      <c r="B397" s="373">
        <v>968</v>
      </c>
      <c r="C397" s="373">
        <v>503</v>
      </c>
      <c r="D397" s="373" t="s">
        <v>713</v>
      </c>
      <c r="E397" s="373">
        <v>500</v>
      </c>
      <c r="F397" s="379">
        <v>244</v>
      </c>
      <c r="G397" s="379">
        <v>226</v>
      </c>
      <c r="H397" s="1683">
        <f t="shared" si="61"/>
        <v>300</v>
      </c>
      <c r="I397" s="1683">
        <v>0</v>
      </c>
      <c r="J397" s="2431">
        <f>300</f>
        <v>300</v>
      </c>
      <c r="K397" s="1683">
        <f>300-300</f>
        <v>0</v>
      </c>
      <c r="L397" s="1683">
        <f>107.589-107.589</f>
        <v>0</v>
      </c>
      <c r="M397" s="912"/>
      <c r="N397" s="912"/>
    </row>
    <row r="398" spans="1:14" ht="13.5" customHeight="1" hidden="1">
      <c r="A398" s="363" t="s">
        <v>354</v>
      </c>
      <c r="B398" s="127">
        <v>968</v>
      </c>
      <c r="C398" s="127">
        <v>503</v>
      </c>
      <c r="D398" s="127" t="s">
        <v>713</v>
      </c>
      <c r="E398" s="127">
        <v>500</v>
      </c>
      <c r="F398" s="377">
        <v>240</v>
      </c>
      <c r="G398" s="377">
        <v>300</v>
      </c>
      <c r="H398" s="2372">
        <f>H399</f>
        <v>0</v>
      </c>
      <c r="I398" s="2372">
        <f>I399</f>
        <v>0</v>
      </c>
      <c r="J398" s="2400">
        <f>J399</f>
        <v>0</v>
      </c>
      <c r="K398" s="2372">
        <f>K399</f>
        <v>0</v>
      </c>
      <c r="L398" s="2372">
        <f>L399</f>
        <v>0</v>
      </c>
      <c r="M398" s="912"/>
      <c r="N398" s="912"/>
    </row>
    <row r="399" spans="1:14" ht="13.5" customHeight="1" hidden="1">
      <c r="A399" s="366" t="s">
        <v>261</v>
      </c>
      <c r="B399" s="373">
        <v>968</v>
      </c>
      <c r="C399" s="373">
        <v>503</v>
      </c>
      <c r="D399" s="373" t="s">
        <v>713</v>
      </c>
      <c r="E399" s="373">
        <v>500</v>
      </c>
      <c r="F399" s="379">
        <v>240</v>
      </c>
      <c r="G399" s="379">
        <v>340</v>
      </c>
      <c r="H399" s="2377">
        <f>SUM(I399:L399)</f>
        <v>0</v>
      </c>
      <c r="I399" s="2377">
        <v>0</v>
      </c>
      <c r="J399" s="2398">
        <f>523.56-523.56</f>
        <v>0</v>
      </c>
      <c r="K399" s="2377">
        <f>523.561-523.561</f>
        <v>0</v>
      </c>
      <c r="L399" s="2377">
        <f>107.589-107.589</f>
        <v>0</v>
      </c>
      <c r="M399" s="912"/>
      <c r="N399" s="912"/>
    </row>
    <row r="400" spans="2:14" ht="25.5" customHeight="1" hidden="1">
      <c r="B400" s="130">
        <v>968</v>
      </c>
      <c r="C400" s="130">
        <v>503</v>
      </c>
      <c r="D400" s="130" t="str">
        <f>D402</f>
        <v>600 03 04</v>
      </c>
      <c r="E400" s="130"/>
      <c r="F400" s="387"/>
      <c r="G400" s="387"/>
      <c r="H400" s="2368">
        <f>H402</f>
        <v>0</v>
      </c>
      <c r="I400" s="2368">
        <f aca="true" t="shared" si="63" ref="I400:L401">I401</f>
        <v>0</v>
      </c>
      <c r="J400" s="2368">
        <f t="shared" si="63"/>
        <v>0</v>
      </c>
      <c r="K400" s="2368">
        <f t="shared" si="63"/>
        <v>0</v>
      </c>
      <c r="L400" s="2368">
        <f t="shared" si="63"/>
        <v>0</v>
      </c>
      <c r="M400" s="912"/>
      <c r="N400" s="912"/>
    </row>
    <row r="401" spans="1:14" ht="15" customHeight="1" hidden="1">
      <c r="A401" s="385" t="s">
        <v>1186</v>
      </c>
      <c r="B401" s="1168">
        <v>968</v>
      </c>
      <c r="C401" s="1168">
        <v>503</v>
      </c>
      <c r="D401" s="1168" t="str">
        <f>D402</f>
        <v>600 03 04</v>
      </c>
      <c r="E401" s="1168">
        <v>500</v>
      </c>
      <c r="F401" s="1162">
        <v>200</v>
      </c>
      <c r="G401" s="389"/>
      <c r="H401" s="2368">
        <f>SUM(I401:L401)</f>
        <v>0</v>
      </c>
      <c r="I401" s="2368">
        <f t="shared" si="63"/>
        <v>0</v>
      </c>
      <c r="J401" s="2368">
        <f t="shared" si="63"/>
        <v>0</v>
      </c>
      <c r="K401" s="2368">
        <f t="shared" si="63"/>
        <v>0</v>
      </c>
      <c r="L401" s="2368">
        <f t="shared" si="63"/>
        <v>0</v>
      </c>
      <c r="M401" s="912"/>
      <c r="N401" s="912"/>
    </row>
    <row r="402" spans="1:14" ht="13.5" customHeight="1" hidden="1">
      <c r="A402" s="1161" t="s">
        <v>1063</v>
      </c>
      <c r="B402" s="1168">
        <v>968</v>
      </c>
      <c r="C402" s="1168">
        <v>503</v>
      </c>
      <c r="D402" s="1168" t="str">
        <f>D403</f>
        <v>600 03 04</v>
      </c>
      <c r="E402" s="1168">
        <v>500</v>
      </c>
      <c r="F402" s="1162">
        <v>244</v>
      </c>
      <c r="G402" s="1162"/>
      <c r="H402" s="2370">
        <f aca="true" t="shared" si="64" ref="H402:L403">H403</f>
        <v>0</v>
      </c>
      <c r="I402" s="2370">
        <f t="shared" si="64"/>
        <v>0</v>
      </c>
      <c r="J402" s="2397">
        <f t="shared" si="64"/>
        <v>0</v>
      </c>
      <c r="K402" s="2370">
        <f t="shared" si="64"/>
        <v>0</v>
      </c>
      <c r="L402" s="2370">
        <f t="shared" si="64"/>
        <v>0</v>
      </c>
      <c r="M402" s="912"/>
      <c r="N402" s="912"/>
    </row>
    <row r="403" spans="1:14" ht="13.5" customHeight="1" hidden="1">
      <c r="A403" s="363" t="s">
        <v>350</v>
      </c>
      <c r="B403" s="127">
        <v>968</v>
      </c>
      <c r="C403" s="127">
        <v>503</v>
      </c>
      <c r="D403" s="127" t="str">
        <f>D404</f>
        <v>600 03 04</v>
      </c>
      <c r="E403" s="127">
        <v>500</v>
      </c>
      <c r="F403" s="377">
        <v>244</v>
      </c>
      <c r="G403" s="377">
        <v>200</v>
      </c>
      <c r="H403" s="2375">
        <f t="shared" si="64"/>
        <v>0</v>
      </c>
      <c r="I403" s="2375">
        <f t="shared" si="64"/>
        <v>0</v>
      </c>
      <c r="J403" s="2399">
        <f t="shared" si="64"/>
        <v>0</v>
      </c>
      <c r="K403" s="2375">
        <f t="shared" si="64"/>
        <v>0</v>
      </c>
      <c r="L403" s="2375">
        <f t="shared" si="64"/>
        <v>0</v>
      </c>
      <c r="M403" s="912"/>
      <c r="N403" s="912"/>
    </row>
    <row r="404" spans="1:14" ht="13.5" customHeight="1" hidden="1">
      <c r="A404" s="366" t="s">
        <v>353</v>
      </c>
      <c r="B404" s="373">
        <v>968</v>
      </c>
      <c r="C404" s="373">
        <v>503</v>
      </c>
      <c r="D404" s="373" t="s">
        <v>1044</v>
      </c>
      <c r="E404" s="373">
        <v>500</v>
      </c>
      <c r="F404" s="379">
        <v>244</v>
      </c>
      <c r="G404" s="379">
        <v>226</v>
      </c>
      <c r="H404" s="2377">
        <f aca="true" t="shared" si="65" ref="H404:H409">SUM(I404:L404)</f>
        <v>0</v>
      </c>
      <c r="I404" s="2377">
        <v>0</v>
      </c>
      <c r="J404" s="2398">
        <f>500-500</f>
        <v>0</v>
      </c>
      <c r="K404" s="2377">
        <v>0</v>
      </c>
      <c r="L404" s="2377">
        <v>0</v>
      </c>
      <c r="M404" s="912"/>
      <c r="N404" s="912"/>
    </row>
    <row r="405" spans="1:14" ht="15.75" customHeight="1">
      <c r="A405" s="388" t="s">
        <v>1028</v>
      </c>
      <c r="B405" s="130">
        <v>968</v>
      </c>
      <c r="C405" s="130">
        <v>503</v>
      </c>
      <c r="D405" s="130" t="str">
        <f>D407</f>
        <v>600 03 05</v>
      </c>
      <c r="E405" s="130"/>
      <c r="F405" s="387"/>
      <c r="G405" s="387"/>
      <c r="H405" s="715">
        <f t="shared" si="65"/>
        <v>150</v>
      </c>
      <c r="I405" s="715">
        <f aca="true" t="shared" si="66" ref="I405:L406">I406</f>
        <v>0</v>
      </c>
      <c r="J405" s="715">
        <f t="shared" si="66"/>
        <v>0</v>
      </c>
      <c r="K405" s="715">
        <f t="shared" si="66"/>
        <v>0</v>
      </c>
      <c r="L405" s="715">
        <f t="shared" si="66"/>
        <v>150</v>
      </c>
      <c r="M405" s="912"/>
      <c r="N405" s="912"/>
    </row>
    <row r="406" spans="1:14" ht="15.75" customHeight="1">
      <c r="A406" s="385" t="s">
        <v>1186</v>
      </c>
      <c r="B406" s="1168">
        <v>968</v>
      </c>
      <c r="C406" s="1168">
        <v>503</v>
      </c>
      <c r="D406" s="1168" t="str">
        <f>D407</f>
        <v>600 03 05</v>
      </c>
      <c r="E406" s="1168">
        <v>500</v>
      </c>
      <c r="F406" s="1162">
        <v>200</v>
      </c>
      <c r="G406" s="389"/>
      <c r="H406" s="715">
        <f t="shared" si="65"/>
        <v>150</v>
      </c>
      <c r="I406" s="715">
        <f t="shared" si="66"/>
        <v>0</v>
      </c>
      <c r="J406" s="715">
        <f t="shared" si="66"/>
        <v>0</v>
      </c>
      <c r="K406" s="715">
        <f t="shared" si="66"/>
        <v>0</v>
      </c>
      <c r="L406" s="715">
        <f t="shared" si="66"/>
        <v>150</v>
      </c>
      <c r="M406" s="912"/>
      <c r="N406" s="912"/>
    </row>
    <row r="407" spans="1:14" ht="15" customHeight="1">
      <c r="A407" s="1161" t="s">
        <v>1063</v>
      </c>
      <c r="B407" s="1168">
        <v>968</v>
      </c>
      <c r="C407" s="1168">
        <v>503</v>
      </c>
      <c r="D407" s="1168" t="str">
        <f>D408</f>
        <v>600 03 05</v>
      </c>
      <c r="E407" s="1168">
        <v>500</v>
      </c>
      <c r="F407" s="1162">
        <v>244</v>
      </c>
      <c r="G407" s="1162"/>
      <c r="H407" s="1169">
        <f t="shared" si="65"/>
        <v>150</v>
      </c>
      <c r="I407" s="1169">
        <f aca="true" t="shared" si="67" ref="I407:K408">I408</f>
        <v>0</v>
      </c>
      <c r="J407" s="2430">
        <f>J408</f>
        <v>0</v>
      </c>
      <c r="K407" s="1169">
        <f t="shared" si="67"/>
        <v>0</v>
      </c>
      <c r="L407" s="1169">
        <f>L408</f>
        <v>150</v>
      </c>
      <c r="M407" s="912"/>
      <c r="N407" s="912"/>
    </row>
    <row r="408" spans="1:14" ht="12.75">
      <c r="A408" s="363" t="s">
        <v>350</v>
      </c>
      <c r="B408" s="127">
        <v>968</v>
      </c>
      <c r="C408" s="127">
        <v>503</v>
      </c>
      <c r="D408" s="127" t="str">
        <f>D409</f>
        <v>600 03 05</v>
      </c>
      <c r="E408" s="127">
        <v>500</v>
      </c>
      <c r="F408" s="377">
        <v>244</v>
      </c>
      <c r="G408" s="377">
        <v>200</v>
      </c>
      <c r="H408" s="1685">
        <f t="shared" si="65"/>
        <v>150</v>
      </c>
      <c r="I408" s="1685">
        <f t="shared" si="67"/>
        <v>0</v>
      </c>
      <c r="J408" s="2432">
        <f>J409</f>
        <v>0</v>
      </c>
      <c r="K408" s="1685">
        <f t="shared" si="67"/>
        <v>0</v>
      </c>
      <c r="L408" s="1685">
        <f>L409</f>
        <v>150</v>
      </c>
      <c r="M408" s="912"/>
      <c r="N408" s="912"/>
    </row>
    <row r="409" spans="1:14" ht="12.75">
      <c r="A409" s="366" t="s">
        <v>353</v>
      </c>
      <c r="B409" s="373">
        <v>968</v>
      </c>
      <c r="C409" s="373">
        <v>503</v>
      </c>
      <c r="D409" s="373" t="s">
        <v>1027</v>
      </c>
      <c r="E409" s="373">
        <v>500</v>
      </c>
      <c r="F409" s="379">
        <v>244</v>
      </c>
      <c r="G409" s="379">
        <v>226</v>
      </c>
      <c r="H409" s="1683">
        <f t="shared" si="65"/>
        <v>150</v>
      </c>
      <c r="I409" s="1683">
        <v>0</v>
      </c>
      <c r="J409" s="2431">
        <v>0</v>
      </c>
      <c r="K409" s="1683">
        <v>0</v>
      </c>
      <c r="L409" s="1683">
        <v>150</v>
      </c>
      <c r="M409" s="912"/>
      <c r="N409" s="912"/>
    </row>
    <row r="410" spans="1:14" ht="12.75">
      <c r="A410" s="385" t="s">
        <v>1029</v>
      </c>
      <c r="B410" s="137">
        <v>968</v>
      </c>
      <c r="C410" s="137">
        <v>503</v>
      </c>
      <c r="D410" s="137" t="s">
        <v>714</v>
      </c>
      <c r="E410" s="137"/>
      <c r="F410" s="380"/>
      <c r="G410" s="380"/>
      <c r="H410" s="726">
        <f>H411+H419+H424</f>
        <v>5687.674999999999</v>
      </c>
      <c r="I410" s="726">
        <f>I411+I419+I424</f>
        <v>0</v>
      </c>
      <c r="J410" s="726">
        <f>J411+J419+J424</f>
        <v>514.4590000000001</v>
      </c>
      <c r="K410" s="726">
        <f>K411+K419+K424</f>
        <v>5173.215999999999</v>
      </c>
      <c r="L410" s="726">
        <f>L411+L419+L424</f>
        <v>0</v>
      </c>
      <c r="M410" s="912"/>
      <c r="N410" s="912"/>
    </row>
    <row r="411" spans="1:14" ht="27" customHeight="1">
      <c r="A411" s="385" t="s">
        <v>1030</v>
      </c>
      <c r="B411" s="361">
        <v>968</v>
      </c>
      <c r="C411" s="361">
        <v>503</v>
      </c>
      <c r="D411" s="130" t="s">
        <v>715</v>
      </c>
      <c r="E411" s="130"/>
      <c r="F411" s="387"/>
      <c r="G411" s="387"/>
      <c r="H411" s="715">
        <f aca="true" t="shared" si="68" ref="H411:H416">SUM(I411:L411)</f>
        <v>4248.240999999999</v>
      </c>
      <c r="I411" s="715">
        <f aca="true" t="shared" si="69" ref="I411:L412">I412</f>
        <v>0</v>
      </c>
      <c r="J411" s="715">
        <f t="shared" si="69"/>
        <v>94.459</v>
      </c>
      <c r="K411" s="715">
        <f t="shared" si="69"/>
        <v>4153.781999999999</v>
      </c>
      <c r="L411" s="715">
        <f t="shared" si="69"/>
        <v>0</v>
      </c>
      <c r="M411" s="912"/>
      <c r="N411" s="912"/>
    </row>
    <row r="412" spans="1:14" ht="16.5" customHeight="1">
      <c r="A412" s="385" t="s">
        <v>1186</v>
      </c>
      <c r="B412" s="1168">
        <v>968</v>
      </c>
      <c r="C412" s="1168">
        <v>503</v>
      </c>
      <c r="D412" s="1168" t="s">
        <v>715</v>
      </c>
      <c r="E412" s="1168">
        <v>500</v>
      </c>
      <c r="F412" s="1162">
        <v>200</v>
      </c>
      <c r="G412" s="380"/>
      <c r="H412" s="2439">
        <f t="shared" si="68"/>
        <v>4248.240999999999</v>
      </c>
      <c r="I412" s="2439">
        <f t="shared" si="69"/>
        <v>0</v>
      </c>
      <c r="J412" s="2439">
        <f t="shared" si="69"/>
        <v>94.459</v>
      </c>
      <c r="K412" s="2439">
        <f t="shared" si="69"/>
        <v>4153.781999999999</v>
      </c>
      <c r="L412" s="2439">
        <f t="shared" si="69"/>
        <v>0</v>
      </c>
      <c r="M412" s="912"/>
      <c r="N412" s="912"/>
    </row>
    <row r="413" spans="1:14" ht="12.75">
      <c r="A413" s="1161" t="s">
        <v>1063</v>
      </c>
      <c r="B413" s="1168">
        <v>968</v>
      </c>
      <c r="C413" s="1168">
        <v>503</v>
      </c>
      <c r="D413" s="1168" t="s">
        <v>715</v>
      </c>
      <c r="E413" s="1168">
        <v>500</v>
      </c>
      <c r="F413" s="1162">
        <v>244</v>
      </c>
      <c r="G413" s="1162"/>
      <c r="H413" s="1169">
        <f t="shared" si="68"/>
        <v>4248.240999999999</v>
      </c>
      <c r="I413" s="1169">
        <f>I414+I417</f>
        <v>0</v>
      </c>
      <c r="J413" s="1169">
        <f>J414+J417</f>
        <v>94.459</v>
      </c>
      <c r="K413" s="1169">
        <f>K414+K417</f>
        <v>4153.781999999999</v>
      </c>
      <c r="L413" s="1169">
        <f>L414+L417</f>
        <v>0</v>
      </c>
      <c r="M413" s="912"/>
      <c r="N413" s="912"/>
    </row>
    <row r="414" spans="1:14" ht="12.75">
      <c r="A414" s="363" t="s">
        <v>350</v>
      </c>
      <c r="B414" s="127">
        <v>968</v>
      </c>
      <c r="C414" s="127">
        <v>503</v>
      </c>
      <c r="D414" s="127" t="s">
        <v>715</v>
      </c>
      <c r="E414" s="127">
        <v>500</v>
      </c>
      <c r="F414" s="377">
        <v>244</v>
      </c>
      <c r="G414" s="1167">
        <v>200</v>
      </c>
      <c r="H414" s="1685">
        <f t="shared" si="68"/>
        <v>1270.18</v>
      </c>
      <c r="I414" s="1685">
        <f>SUM(I415:I416)</f>
        <v>0</v>
      </c>
      <c r="J414" s="1685">
        <f>SUM(J415:J416)</f>
        <v>94.459</v>
      </c>
      <c r="K414" s="1685">
        <f>SUM(K415:K416)</f>
        <v>1175.721</v>
      </c>
      <c r="L414" s="1685">
        <f>SUM(L415:L416)</f>
        <v>0</v>
      </c>
      <c r="M414" s="912"/>
      <c r="N414" s="912"/>
    </row>
    <row r="415" spans="1:14" ht="13.5" customHeight="1" hidden="1">
      <c r="A415" s="366" t="s">
        <v>352</v>
      </c>
      <c r="B415" s="373">
        <v>968</v>
      </c>
      <c r="C415" s="373">
        <v>503</v>
      </c>
      <c r="D415" s="373" t="s">
        <v>715</v>
      </c>
      <c r="E415" s="373">
        <v>500</v>
      </c>
      <c r="F415" s="379">
        <v>244</v>
      </c>
      <c r="G415" s="1957">
        <v>225</v>
      </c>
      <c r="H415" s="1683">
        <f t="shared" si="68"/>
        <v>0</v>
      </c>
      <c r="I415" s="1683">
        <v>0</v>
      </c>
      <c r="J415" s="2431">
        <f>250-250</f>
        <v>0</v>
      </c>
      <c r="K415" s="1683">
        <v>0</v>
      </c>
      <c r="L415" s="1683">
        <f>500-500</f>
        <v>0</v>
      </c>
      <c r="M415" s="912"/>
      <c r="N415" s="912"/>
    </row>
    <row r="416" spans="1:14" ht="13.5" customHeight="1">
      <c r="A416" s="366" t="s">
        <v>353</v>
      </c>
      <c r="B416" s="373">
        <v>968</v>
      </c>
      <c r="C416" s="373">
        <v>503</v>
      </c>
      <c r="D416" s="373" t="s">
        <v>715</v>
      </c>
      <c r="E416" s="373">
        <v>500</v>
      </c>
      <c r="F416" s="379">
        <v>244</v>
      </c>
      <c r="G416" s="1957">
        <v>226</v>
      </c>
      <c r="H416" s="1683">
        <f t="shared" si="68"/>
        <v>1270.18</v>
      </c>
      <c r="I416" s="1683">
        <f>1145.923-1145.923</f>
        <v>0</v>
      </c>
      <c r="J416" s="2431">
        <f>60+34.459</f>
        <v>94.459</v>
      </c>
      <c r="K416" s="1683">
        <f>1000+175.721</f>
        <v>1175.721</v>
      </c>
      <c r="L416" s="1683">
        <f>215.598-215.598</f>
        <v>0</v>
      </c>
      <c r="M416" s="912"/>
      <c r="N416" s="912"/>
    </row>
    <row r="417" spans="1:14" ht="13.5" customHeight="1">
      <c r="A417" s="363" t="s">
        <v>354</v>
      </c>
      <c r="B417" s="127">
        <v>968</v>
      </c>
      <c r="C417" s="127">
        <v>503</v>
      </c>
      <c r="D417" s="127" t="s">
        <v>715</v>
      </c>
      <c r="E417" s="127">
        <v>500</v>
      </c>
      <c r="F417" s="377">
        <v>244</v>
      </c>
      <c r="G417" s="652">
        <v>300</v>
      </c>
      <c r="H417" s="2437">
        <f>H418</f>
        <v>2978.0609999999997</v>
      </c>
      <c r="I417" s="2437">
        <f>I418</f>
        <v>0</v>
      </c>
      <c r="J417" s="2438">
        <f>J418</f>
        <v>0</v>
      </c>
      <c r="K417" s="2437">
        <f>K418</f>
        <v>2978.0609999999997</v>
      </c>
      <c r="L417" s="2437">
        <f>L418</f>
        <v>0</v>
      </c>
      <c r="M417" s="912"/>
      <c r="N417" s="912"/>
    </row>
    <row r="418" spans="1:14" ht="13.5" customHeight="1">
      <c r="A418" s="366" t="s">
        <v>260</v>
      </c>
      <c r="B418" s="373">
        <v>968</v>
      </c>
      <c r="C418" s="373">
        <v>503</v>
      </c>
      <c r="D418" s="373" t="s">
        <v>715</v>
      </c>
      <c r="E418" s="373">
        <v>500</v>
      </c>
      <c r="F418" s="379">
        <v>244</v>
      </c>
      <c r="G418" s="379">
        <v>310</v>
      </c>
      <c r="H418" s="1683">
        <f>SUM(I418:L418)</f>
        <v>2978.0609999999997</v>
      </c>
      <c r="I418" s="1683">
        <v>0</v>
      </c>
      <c r="J418" s="2431">
        <f>1000-1000</f>
        <v>0</v>
      </c>
      <c r="K418" s="1683">
        <f>1978.061+1000</f>
        <v>2978.0609999999997</v>
      </c>
      <c r="L418" s="1683">
        <v>0</v>
      </c>
      <c r="M418" s="912"/>
      <c r="N418" s="912"/>
    </row>
    <row r="419" spans="1:14" ht="13.5" customHeight="1">
      <c r="A419" s="1175" t="s">
        <v>1031</v>
      </c>
      <c r="B419" s="724">
        <v>968</v>
      </c>
      <c r="C419" s="724">
        <v>503</v>
      </c>
      <c r="D419" s="724" t="str">
        <f>D421</f>
        <v>600 04 02</v>
      </c>
      <c r="E419" s="724"/>
      <c r="F419" s="1950"/>
      <c r="G419" s="1165"/>
      <c r="H419" s="715">
        <f>H421</f>
        <v>1439.434</v>
      </c>
      <c r="I419" s="715">
        <f aca="true" t="shared" si="70" ref="I419:L420">I420</f>
        <v>0</v>
      </c>
      <c r="J419" s="715">
        <f t="shared" si="70"/>
        <v>420</v>
      </c>
      <c r="K419" s="715">
        <f t="shared" si="70"/>
        <v>1019.434</v>
      </c>
      <c r="L419" s="715">
        <f t="shared" si="70"/>
        <v>0</v>
      </c>
      <c r="M419" s="912"/>
      <c r="N419" s="912"/>
    </row>
    <row r="420" spans="1:14" ht="13.5" customHeight="1">
      <c r="A420" s="385" t="s">
        <v>1186</v>
      </c>
      <c r="B420" s="1168">
        <v>968</v>
      </c>
      <c r="C420" s="1168">
        <v>503</v>
      </c>
      <c r="D420" s="1168" t="str">
        <f>D421</f>
        <v>600 04 02</v>
      </c>
      <c r="E420" s="1168">
        <v>500</v>
      </c>
      <c r="F420" s="1162">
        <v>200</v>
      </c>
      <c r="G420" s="379"/>
      <c r="H420" s="2441">
        <f>SUM(I420:L420)</f>
        <v>1439.434</v>
      </c>
      <c r="I420" s="2441">
        <f t="shared" si="70"/>
        <v>0</v>
      </c>
      <c r="J420" s="2441">
        <f t="shared" si="70"/>
        <v>420</v>
      </c>
      <c r="K420" s="2441">
        <f t="shared" si="70"/>
        <v>1019.434</v>
      </c>
      <c r="L420" s="2441">
        <f t="shared" si="70"/>
        <v>0</v>
      </c>
      <c r="M420" s="912"/>
      <c r="N420" s="912"/>
    </row>
    <row r="421" spans="1:14" ht="13.5" customHeight="1">
      <c r="A421" s="1161" t="s">
        <v>1063</v>
      </c>
      <c r="B421" s="1168">
        <v>968</v>
      </c>
      <c r="C421" s="1168">
        <v>503</v>
      </c>
      <c r="D421" s="1168" t="str">
        <f>D422</f>
        <v>600 04 02</v>
      </c>
      <c r="E421" s="1168">
        <v>500</v>
      </c>
      <c r="F421" s="1162">
        <v>244</v>
      </c>
      <c r="G421" s="379"/>
      <c r="H421" s="2441">
        <f aca="true" t="shared" si="71" ref="H421:J422">H422</f>
        <v>1439.434</v>
      </c>
      <c r="I421" s="2441">
        <f t="shared" si="71"/>
        <v>0</v>
      </c>
      <c r="J421" s="2441">
        <f t="shared" si="71"/>
        <v>420</v>
      </c>
      <c r="K421" s="2441">
        <f>K422</f>
        <v>1019.434</v>
      </c>
      <c r="L421" s="2441">
        <f>L422</f>
        <v>0</v>
      </c>
      <c r="M421" s="912"/>
      <c r="N421" s="912"/>
    </row>
    <row r="422" spans="1:14" ht="13.5" customHeight="1">
      <c r="A422" s="363" t="s">
        <v>354</v>
      </c>
      <c r="B422" s="127">
        <v>968</v>
      </c>
      <c r="C422" s="127">
        <v>503</v>
      </c>
      <c r="D422" s="127" t="str">
        <f>D423</f>
        <v>600 04 02</v>
      </c>
      <c r="E422" s="127">
        <v>500</v>
      </c>
      <c r="F422" s="377">
        <v>244</v>
      </c>
      <c r="G422" s="652">
        <v>300</v>
      </c>
      <c r="H422" s="1683">
        <f t="shared" si="71"/>
        <v>1439.434</v>
      </c>
      <c r="I422" s="1683">
        <f t="shared" si="71"/>
        <v>0</v>
      </c>
      <c r="J422" s="1683">
        <f t="shared" si="71"/>
        <v>420</v>
      </c>
      <c r="K422" s="1683">
        <f>K423</f>
        <v>1019.434</v>
      </c>
      <c r="L422" s="1683">
        <f>L423</f>
        <v>0</v>
      </c>
      <c r="M422" s="912"/>
      <c r="N422" s="912"/>
    </row>
    <row r="423" spans="1:14" ht="13.5" customHeight="1" thickBot="1">
      <c r="A423" s="366" t="s">
        <v>260</v>
      </c>
      <c r="B423" s="373">
        <v>968</v>
      </c>
      <c r="C423" s="373">
        <v>503</v>
      </c>
      <c r="D423" s="373" t="s">
        <v>730</v>
      </c>
      <c r="E423" s="373">
        <v>500</v>
      </c>
      <c r="F423" s="379">
        <v>244</v>
      </c>
      <c r="G423" s="379">
        <v>310</v>
      </c>
      <c r="H423" s="1683">
        <f>SUM(I423:L423)</f>
        <v>1439.434</v>
      </c>
      <c r="I423" s="1683">
        <v>0</v>
      </c>
      <c r="J423" s="2431">
        <f>420</f>
        <v>420</v>
      </c>
      <c r="K423" s="1683">
        <v>1019.434</v>
      </c>
      <c r="L423" s="1683">
        <f>1439.434-1439.434</f>
        <v>0</v>
      </c>
      <c r="M423" s="912"/>
      <c r="N423" s="912"/>
    </row>
    <row r="424" spans="1:14" ht="27" customHeight="1" hidden="1">
      <c r="A424" s="388" t="s">
        <v>142</v>
      </c>
      <c r="B424" s="130">
        <v>968</v>
      </c>
      <c r="C424" s="130">
        <v>503</v>
      </c>
      <c r="D424" s="130" t="str">
        <f>D426</f>
        <v>600 04 03</v>
      </c>
      <c r="E424" s="130"/>
      <c r="F424" s="387"/>
      <c r="G424" s="387"/>
      <c r="H424" s="2368">
        <f>H426</f>
        <v>0</v>
      </c>
      <c r="I424" s="2368">
        <f aca="true" t="shared" si="72" ref="I424:L425">I425</f>
        <v>0</v>
      </c>
      <c r="J424" s="2368">
        <f t="shared" si="72"/>
        <v>0</v>
      </c>
      <c r="K424" s="2368">
        <f t="shared" si="72"/>
        <v>0</v>
      </c>
      <c r="L424" s="2368">
        <f t="shared" si="72"/>
        <v>0</v>
      </c>
      <c r="M424" s="912"/>
      <c r="N424" s="912"/>
    </row>
    <row r="425" spans="1:14" ht="15" customHeight="1" hidden="1">
      <c r="A425" s="385" t="s">
        <v>1186</v>
      </c>
      <c r="B425" s="1168">
        <v>968</v>
      </c>
      <c r="C425" s="1168">
        <v>503</v>
      </c>
      <c r="D425" s="1168" t="str">
        <f>D426</f>
        <v>600 04 03</v>
      </c>
      <c r="E425" s="1168">
        <v>500</v>
      </c>
      <c r="F425" s="1162">
        <v>200</v>
      </c>
      <c r="G425" s="389"/>
      <c r="H425" s="2368">
        <f>SUM(I425:L425)</f>
        <v>0</v>
      </c>
      <c r="I425" s="2368">
        <f t="shared" si="72"/>
        <v>0</v>
      </c>
      <c r="J425" s="2368">
        <f t="shared" si="72"/>
        <v>0</v>
      </c>
      <c r="K425" s="2368">
        <f t="shared" si="72"/>
        <v>0</v>
      </c>
      <c r="L425" s="2368">
        <f t="shared" si="72"/>
        <v>0</v>
      </c>
      <c r="M425" s="912"/>
      <c r="N425" s="912"/>
    </row>
    <row r="426" spans="1:14" ht="12.75" hidden="1">
      <c r="A426" s="1161" t="s">
        <v>1063</v>
      </c>
      <c r="B426" s="1168">
        <v>968</v>
      </c>
      <c r="C426" s="1168">
        <v>503</v>
      </c>
      <c r="D426" s="1168" t="str">
        <f>D427</f>
        <v>600 04 03</v>
      </c>
      <c r="E426" s="1168">
        <v>500</v>
      </c>
      <c r="F426" s="1162">
        <v>244</v>
      </c>
      <c r="G426" s="1162"/>
      <c r="H426" s="2370">
        <f aca="true" t="shared" si="73" ref="H426:L427">H427</f>
        <v>0</v>
      </c>
      <c r="I426" s="2370">
        <f t="shared" si="73"/>
        <v>0</v>
      </c>
      <c r="J426" s="2397">
        <f t="shared" si="73"/>
        <v>0</v>
      </c>
      <c r="K426" s="2370">
        <f t="shared" si="73"/>
        <v>0</v>
      </c>
      <c r="L426" s="2370">
        <f t="shared" si="73"/>
        <v>0</v>
      </c>
      <c r="M426" s="912"/>
      <c r="N426" s="912"/>
    </row>
    <row r="427" spans="1:14" ht="12.75" hidden="1">
      <c r="A427" s="363" t="s">
        <v>350</v>
      </c>
      <c r="B427" s="127">
        <v>968</v>
      </c>
      <c r="C427" s="127">
        <v>503</v>
      </c>
      <c r="D427" s="127" t="str">
        <f>D428</f>
        <v>600 04 03</v>
      </c>
      <c r="E427" s="127">
        <v>500</v>
      </c>
      <c r="F427" s="377">
        <v>244</v>
      </c>
      <c r="G427" s="377">
        <v>200</v>
      </c>
      <c r="H427" s="2375">
        <f t="shared" si="73"/>
        <v>0</v>
      </c>
      <c r="I427" s="2375">
        <f t="shared" si="73"/>
        <v>0</v>
      </c>
      <c r="J427" s="2399">
        <f t="shared" si="73"/>
        <v>0</v>
      </c>
      <c r="K427" s="2375">
        <f t="shared" si="73"/>
        <v>0</v>
      </c>
      <c r="L427" s="2375">
        <f t="shared" si="73"/>
        <v>0</v>
      </c>
      <c r="M427" s="912"/>
      <c r="N427" s="912"/>
    </row>
    <row r="428" spans="1:14" ht="12.75" hidden="1">
      <c r="A428" s="366" t="s">
        <v>353</v>
      </c>
      <c r="B428" s="373">
        <v>968</v>
      </c>
      <c r="C428" s="373">
        <v>503</v>
      </c>
      <c r="D428" s="373" t="s">
        <v>895</v>
      </c>
      <c r="E428" s="373">
        <v>500</v>
      </c>
      <c r="F428" s="379">
        <v>244</v>
      </c>
      <c r="G428" s="379">
        <v>226</v>
      </c>
      <c r="H428" s="2377">
        <f>SUM(I428:L428)</f>
        <v>0</v>
      </c>
      <c r="I428" s="2377">
        <v>0</v>
      </c>
      <c r="J428" s="2398">
        <f>1000-1000</f>
        <v>0</v>
      </c>
      <c r="K428" s="2377">
        <v>0</v>
      </c>
      <c r="L428" s="2377">
        <v>0</v>
      </c>
      <c r="M428" s="912"/>
      <c r="N428" s="912"/>
    </row>
    <row r="429" spans="1:14" ht="22.5" customHeight="1" hidden="1">
      <c r="A429" s="388" t="s">
        <v>897</v>
      </c>
      <c r="B429" s="361">
        <v>968</v>
      </c>
      <c r="C429" s="361">
        <v>503</v>
      </c>
      <c r="D429" s="361" t="s">
        <v>895</v>
      </c>
      <c r="E429" s="361"/>
      <c r="F429" s="389"/>
      <c r="G429" s="389"/>
      <c r="H429" s="2401">
        <f aca="true" t="shared" si="74" ref="H429:L431">H430</f>
        <v>0</v>
      </c>
      <c r="I429" s="2402">
        <f t="shared" si="74"/>
        <v>0</v>
      </c>
      <c r="J429" s="2389">
        <f t="shared" si="74"/>
        <v>0</v>
      </c>
      <c r="K429" s="2402">
        <f t="shared" si="74"/>
        <v>0</v>
      </c>
      <c r="L429" s="2389">
        <f t="shared" si="74"/>
        <v>0</v>
      </c>
      <c r="M429" s="912"/>
      <c r="N429" s="912"/>
    </row>
    <row r="430" spans="1:14" ht="12.75" hidden="1">
      <c r="A430" s="363" t="s">
        <v>426</v>
      </c>
      <c r="B430" s="127">
        <v>968</v>
      </c>
      <c r="C430" s="127">
        <v>503</v>
      </c>
      <c r="D430" s="127" t="s">
        <v>895</v>
      </c>
      <c r="E430" s="127">
        <v>500</v>
      </c>
      <c r="F430" s="377"/>
      <c r="G430" s="377"/>
      <c r="H430" s="2375">
        <f t="shared" si="74"/>
        <v>0</v>
      </c>
      <c r="I430" s="2376">
        <f t="shared" si="74"/>
        <v>0</v>
      </c>
      <c r="J430" s="2375">
        <f t="shared" si="74"/>
        <v>0</v>
      </c>
      <c r="K430" s="2376">
        <f t="shared" si="74"/>
        <v>0</v>
      </c>
      <c r="L430" s="2375">
        <f t="shared" si="74"/>
        <v>0</v>
      </c>
      <c r="M430" s="912"/>
      <c r="N430" s="912"/>
    </row>
    <row r="431" spans="1:14" ht="12.75" hidden="1">
      <c r="A431" s="363" t="s">
        <v>350</v>
      </c>
      <c r="B431" s="127">
        <v>968</v>
      </c>
      <c r="C431" s="127">
        <v>503</v>
      </c>
      <c r="D431" s="127" t="s">
        <v>895</v>
      </c>
      <c r="E431" s="127">
        <v>500</v>
      </c>
      <c r="F431" s="377"/>
      <c r="G431" s="377">
        <v>200</v>
      </c>
      <c r="H431" s="2375">
        <f t="shared" si="74"/>
        <v>0</v>
      </c>
      <c r="I431" s="2376">
        <f t="shared" si="74"/>
        <v>0</v>
      </c>
      <c r="J431" s="2375">
        <f>J432</f>
        <v>0</v>
      </c>
      <c r="K431" s="2376">
        <f>K432</f>
        <v>0</v>
      </c>
      <c r="L431" s="2375">
        <f t="shared" si="74"/>
        <v>0</v>
      </c>
      <c r="M431" s="912"/>
      <c r="N431" s="912"/>
    </row>
    <row r="432" spans="1:14" ht="13.5" hidden="1" thickBot="1">
      <c r="A432" s="636" t="s">
        <v>353</v>
      </c>
      <c r="B432" s="637">
        <v>968</v>
      </c>
      <c r="C432" s="637">
        <v>503</v>
      </c>
      <c r="D432" s="637" t="s">
        <v>895</v>
      </c>
      <c r="E432" s="637">
        <v>500</v>
      </c>
      <c r="F432" s="638"/>
      <c r="G432" s="638">
        <v>226</v>
      </c>
      <c r="H432" s="2379">
        <f>SUM(I432:L432)</f>
        <v>0</v>
      </c>
      <c r="I432" s="2380">
        <v>0</v>
      </c>
      <c r="J432" s="2379">
        <v>0</v>
      </c>
      <c r="K432" s="2380">
        <v>0</v>
      </c>
      <c r="L432" s="2379">
        <v>0</v>
      </c>
      <c r="M432" s="912"/>
      <c r="N432" s="912"/>
    </row>
    <row r="433" spans="1:14" ht="15.75" hidden="1" thickBot="1">
      <c r="A433" s="644" t="s">
        <v>733</v>
      </c>
      <c r="B433" s="645">
        <v>968</v>
      </c>
      <c r="C433" s="645">
        <v>600</v>
      </c>
      <c r="D433" s="645"/>
      <c r="E433" s="645"/>
      <c r="F433" s="646"/>
      <c r="G433" s="646"/>
      <c r="H433" s="2383">
        <f>SUM(I433:L433)</f>
        <v>0</v>
      </c>
      <c r="I433" s="2403">
        <f aca="true" t="shared" si="75" ref="H433:L437">I434</f>
        <v>0</v>
      </c>
      <c r="J433" s="2383">
        <f t="shared" si="75"/>
        <v>0</v>
      </c>
      <c r="K433" s="2403">
        <f t="shared" si="75"/>
        <v>0</v>
      </c>
      <c r="L433" s="2383">
        <f t="shared" si="75"/>
        <v>0</v>
      </c>
      <c r="M433" s="912"/>
      <c r="N433" s="912"/>
    </row>
    <row r="434" spans="1:14" ht="15" customHeight="1" hidden="1">
      <c r="A434" s="649" t="s">
        <v>736</v>
      </c>
      <c r="B434" s="650">
        <v>968</v>
      </c>
      <c r="C434" s="650">
        <v>605</v>
      </c>
      <c r="D434" s="650"/>
      <c r="E434" s="650"/>
      <c r="F434" s="651"/>
      <c r="G434" s="651"/>
      <c r="H434" s="2404">
        <f>SUM(I434:L434)</f>
        <v>0</v>
      </c>
      <c r="I434" s="2405">
        <f t="shared" si="75"/>
        <v>0</v>
      </c>
      <c r="J434" s="2405">
        <f t="shared" si="75"/>
        <v>0</v>
      </c>
      <c r="K434" s="2405">
        <f t="shared" si="75"/>
        <v>0</v>
      </c>
      <c r="L434" s="2404">
        <f t="shared" si="75"/>
        <v>0</v>
      </c>
      <c r="M434" s="912"/>
      <c r="N434" s="912"/>
    </row>
    <row r="435" spans="1:14" ht="25.5" customHeight="1" hidden="1">
      <c r="A435" s="385" t="s">
        <v>737</v>
      </c>
      <c r="B435" s="137">
        <v>968</v>
      </c>
      <c r="C435" s="137">
        <v>605</v>
      </c>
      <c r="D435" s="137" t="s">
        <v>738</v>
      </c>
      <c r="E435" s="137"/>
      <c r="F435" s="380"/>
      <c r="G435" s="380"/>
      <c r="H435" s="2366">
        <f t="shared" si="75"/>
        <v>0</v>
      </c>
      <c r="I435" s="2367">
        <f t="shared" si="75"/>
        <v>0</v>
      </c>
      <c r="J435" s="2366">
        <f t="shared" si="75"/>
        <v>0</v>
      </c>
      <c r="K435" s="2367">
        <f t="shared" si="75"/>
        <v>0</v>
      </c>
      <c r="L435" s="2366">
        <f t="shared" si="75"/>
        <v>0</v>
      </c>
      <c r="M435" s="912"/>
      <c r="N435" s="912"/>
    </row>
    <row r="436" spans="1:14" ht="12.75" hidden="1">
      <c r="A436" s="1161" t="s">
        <v>1063</v>
      </c>
      <c r="B436" s="1168">
        <v>968</v>
      </c>
      <c r="C436" s="1168">
        <v>605</v>
      </c>
      <c r="D436" s="1168" t="s">
        <v>738</v>
      </c>
      <c r="E436" s="1168">
        <v>500</v>
      </c>
      <c r="F436" s="1162">
        <v>244</v>
      </c>
      <c r="G436" s="1162"/>
      <c r="H436" s="2370">
        <f t="shared" si="75"/>
        <v>0</v>
      </c>
      <c r="I436" s="2371">
        <f t="shared" si="75"/>
        <v>0</v>
      </c>
      <c r="J436" s="2370">
        <f t="shared" si="75"/>
        <v>0</v>
      </c>
      <c r="K436" s="2371">
        <f t="shared" si="75"/>
        <v>0</v>
      </c>
      <c r="L436" s="2370">
        <f t="shared" si="75"/>
        <v>0</v>
      </c>
      <c r="M436" s="912"/>
      <c r="N436" s="912"/>
    </row>
    <row r="437" spans="1:14" ht="12.75" hidden="1">
      <c r="A437" s="363" t="s">
        <v>350</v>
      </c>
      <c r="B437" s="127">
        <v>968</v>
      </c>
      <c r="C437" s="127">
        <v>605</v>
      </c>
      <c r="D437" s="127" t="s">
        <v>738</v>
      </c>
      <c r="E437" s="127">
        <v>500</v>
      </c>
      <c r="F437" s="377">
        <v>244</v>
      </c>
      <c r="G437" s="377">
        <v>200</v>
      </c>
      <c r="H437" s="2375">
        <f t="shared" si="75"/>
        <v>0</v>
      </c>
      <c r="I437" s="2376">
        <f t="shared" si="75"/>
        <v>0</v>
      </c>
      <c r="J437" s="2375">
        <f t="shared" si="75"/>
        <v>0</v>
      </c>
      <c r="K437" s="2376">
        <f t="shared" si="75"/>
        <v>0</v>
      </c>
      <c r="L437" s="2375">
        <f t="shared" si="75"/>
        <v>0</v>
      </c>
      <c r="M437" s="912"/>
      <c r="N437" s="912"/>
    </row>
    <row r="438" spans="1:14" ht="13.5" hidden="1" thickBot="1">
      <c r="A438" s="636" t="s">
        <v>353</v>
      </c>
      <c r="B438" s="637">
        <v>968</v>
      </c>
      <c r="C438" s="637">
        <v>605</v>
      </c>
      <c r="D438" s="637" t="s">
        <v>738</v>
      </c>
      <c r="E438" s="637">
        <v>500</v>
      </c>
      <c r="F438" s="638">
        <v>244</v>
      </c>
      <c r="G438" s="638">
        <v>226</v>
      </c>
      <c r="H438" s="2379">
        <f aca="true" t="shared" si="76" ref="H438:H447">SUM(I438:L438)</f>
        <v>0</v>
      </c>
      <c r="I438" s="2380">
        <v>0</v>
      </c>
      <c r="J438" s="2379">
        <v>0</v>
      </c>
      <c r="K438" s="2380">
        <v>0</v>
      </c>
      <c r="L438" s="2379">
        <f>15-15</f>
        <v>0</v>
      </c>
      <c r="M438" s="912"/>
      <c r="N438" s="912"/>
    </row>
    <row r="439" spans="1:14" ht="15.75" customHeight="1" thickBot="1">
      <c r="A439" s="644" t="s">
        <v>271</v>
      </c>
      <c r="B439" s="645">
        <v>968</v>
      </c>
      <c r="C439" s="645">
        <v>700</v>
      </c>
      <c r="D439" s="645"/>
      <c r="E439" s="645"/>
      <c r="F439" s="646"/>
      <c r="G439" s="646"/>
      <c r="H439" s="2423">
        <f t="shared" si="76"/>
        <v>4911.450000000001</v>
      </c>
      <c r="I439" s="2422">
        <f>I440+I453+I489</f>
        <v>929.59</v>
      </c>
      <c r="J439" s="2422">
        <f>J440+J453+J489</f>
        <v>2496.15</v>
      </c>
      <c r="K439" s="2422">
        <f>K440+K453+K489</f>
        <v>1396.7</v>
      </c>
      <c r="L439" s="2423">
        <f>L440+L453+L489</f>
        <v>89.01</v>
      </c>
      <c r="M439" s="912"/>
      <c r="N439" s="912"/>
    </row>
    <row r="440" spans="1:14" ht="15.75" customHeight="1">
      <c r="A440" s="649" t="s">
        <v>1053</v>
      </c>
      <c r="B440" s="641">
        <v>968</v>
      </c>
      <c r="C440" s="641">
        <v>705</v>
      </c>
      <c r="D440" s="641"/>
      <c r="E440" s="641"/>
      <c r="F440" s="642"/>
      <c r="G440" s="642"/>
      <c r="H440" s="2420">
        <f t="shared" si="76"/>
        <v>255</v>
      </c>
      <c r="I440" s="2420">
        <f aca="true" t="shared" si="77" ref="I440:L441">I441</f>
        <v>56.6</v>
      </c>
      <c r="J440" s="2420">
        <f t="shared" si="77"/>
        <v>113.4</v>
      </c>
      <c r="K440" s="2420">
        <f t="shared" si="77"/>
        <v>85</v>
      </c>
      <c r="L440" s="2420">
        <f t="shared" si="77"/>
        <v>0</v>
      </c>
      <c r="M440" s="912"/>
      <c r="N440" s="912"/>
    </row>
    <row r="441" spans="1:14" ht="15.75" customHeight="1">
      <c r="A441" s="385" t="s">
        <v>1086</v>
      </c>
      <c r="B441" s="137">
        <v>968</v>
      </c>
      <c r="C441" s="137">
        <v>705</v>
      </c>
      <c r="D441" s="137" t="s">
        <v>1060</v>
      </c>
      <c r="E441" s="137"/>
      <c r="F441" s="380"/>
      <c r="G441" s="380"/>
      <c r="H441" s="726">
        <f t="shared" si="76"/>
        <v>255</v>
      </c>
      <c r="I441" s="726">
        <f t="shared" si="77"/>
        <v>56.6</v>
      </c>
      <c r="J441" s="726">
        <f t="shared" si="77"/>
        <v>113.4</v>
      </c>
      <c r="K441" s="726">
        <f t="shared" si="77"/>
        <v>85</v>
      </c>
      <c r="L441" s="726">
        <f t="shared" si="77"/>
        <v>0</v>
      </c>
      <c r="M441" s="912"/>
      <c r="N441" s="912"/>
    </row>
    <row r="442" spans="1:14" ht="38.25" customHeight="1">
      <c r="A442" s="385" t="s">
        <v>1310</v>
      </c>
      <c r="B442" s="137">
        <v>968</v>
      </c>
      <c r="C442" s="137">
        <v>705</v>
      </c>
      <c r="D442" s="137" t="s">
        <v>1087</v>
      </c>
      <c r="E442" s="137"/>
      <c r="F442" s="380"/>
      <c r="G442" s="380"/>
      <c r="H442" s="726">
        <f t="shared" si="76"/>
        <v>255</v>
      </c>
      <c r="I442" s="853">
        <f>I443+I448</f>
        <v>56.6</v>
      </c>
      <c r="J442" s="853">
        <f>J443+J448</f>
        <v>113.4</v>
      </c>
      <c r="K442" s="853">
        <f>K443+K448</f>
        <v>85</v>
      </c>
      <c r="L442" s="726">
        <f>L443+L448</f>
        <v>0</v>
      </c>
      <c r="M442" s="912"/>
      <c r="N442" s="912"/>
    </row>
    <row r="443" spans="1:14" ht="37.5" customHeight="1">
      <c r="A443" s="385" t="s">
        <v>1311</v>
      </c>
      <c r="B443" s="137">
        <v>968</v>
      </c>
      <c r="C443" s="137">
        <v>705</v>
      </c>
      <c r="D443" s="137" t="s">
        <v>1062</v>
      </c>
      <c r="E443" s="137"/>
      <c r="F443" s="380"/>
      <c r="G443" s="380"/>
      <c r="H443" s="726">
        <f t="shared" si="76"/>
        <v>17</v>
      </c>
      <c r="I443" s="853">
        <f aca="true" t="shared" si="78" ref="I443:L444">I444</f>
        <v>0</v>
      </c>
      <c r="J443" s="853">
        <f t="shared" si="78"/>
        <v>17</v>
      </c>
      <c r="K443" s="853">
        <f t="shared" si="78"/>
        <v>0</v>
      </c>
      <c r="L443" s="853">
        <f t="shared" si="78"/>
        <v>0</v>
      </c>
      <c r="M443" s="912"/>
      <c r="N443" s="912"/>
    </row>
    <row r="444" spans="1:14" ht="17.25" customHeight="1">
      <c r="A444" s="385" t="s">
        <v>1186</v>
      </c>
      <c r="B444" s="1168">
        <v>968</v>
      </c>
      <c r="C444" s="1168">
        <v>705</v>
      </c>
      <c r="D444" s="1168" t="s">
        <v>1062</v>
      </c>
      <c r="E444" s="1168">
        <v>500</v>
      </c>
      <c r="F444" s="1162">
        <v>200</v>
      </c>
      <c r="G444" s="380"/>
      <c r="H444" s="726">
        <f t="shared" si="76"/>
        <v>17</v>
      </c>
      <c r="I444" s="853">
        <f t="shared" si="78"/>
        <v>0</v>
      </c>
      <c r="J444" s="853">
        <f t="shared" si="78"/>
        <v>17</v>
      </c>
      <c r="K444" s="853">
        <f t="shared" si="78"/>
        <v>0</v>
      </c>
      <c r="L444" s="853">
        <f t="shared" si="78"/>
        <v>0</v>
      </c>
      <c r="M444" s="912"/>
      <c r="N444" s="912"/>
    </row>
    <row r="445" spans="1:14" ht="15.75" customHeight="1">
      <c r="A445" s="1161" t="s">
        <v>1063</v>
      </c>
      <c r="B445" s="1168">
        <v>968</v>
      </c>
      <c r="C445" s="1168">
        <v>705</v>
      </c>
      <c r="D445" s="1168" t="s">
        <v>1062</v>
      </c>
      <c r="E445" s="1168">
        <v>500</v>
      </c>
      <c r="F445" s="1162">
        <v>244</v>
      </c>
      <c r="G445" s="1162"/>
      <c r="H445" s="1169">
        <f t="shared" si="76"/>
        <v>17</v>
      </c>
      <c r="I445" s="1169">
        <f aca="true" t="shared" si="79" ref="I445:L446">I446</f>
        <v>0</v>
      </c>
      <c r="J445" s="1169">
        <f t="shared" si="79"/>
        <v>17</v>
      </c>
      <c r="K445" s="1169">
        <f t="shared" si="79"/>
        <v>0</v>
      </c>
      <c r="L445" s="1169">
        <f t="shared" si="79"/>
        <v>0</v>
      </c>
      <c r="M445" s="912"/>
      <c r="N445" s="912"/>
    </row>
    <row r="446" spans="1:14" ht="15.75" customHeight="1">
      <c r="A446" s="363" t="s">
        <v>350</v>
      </c>
      <c r="B446" s="127">
        <v>968</v>
      </c>
      <c r="C446" s="127">
        <v>705</v>
      </c>
      <c r="D446" s="127" t="s">
        <v>1062</v>
      </c>
      <c r="E446" s="127">
        <v>500</v>
      </c>
      <c r="F446" s="377">
        <v>244</v>
      </c>
      <c r="G446" s="377">
        <v>200</v>
      </c>
      <c r="H446" s="1685">
        <f t="shared" si="76"/>
        <v>17</v>
      </c>
      <c r="I446" s="1685">
        <f t="shared" si="79"/>
        <v>0</v>
      </c>
      <c r="J446" s="1685">
        <f t="shared" si="79"/>
        <v>17</v>
      </c>
      <c r="K446" s="1685">
        <f t="shared" si="79"/>
        <v>0</v>
      </c>
      <c r="L446" s="1685">
        <f t="shared" si="79"/>
        <v>0</v>
      </c>
      <c r="M446" s="912"/>
      <c r="N446" s="912"/>
    </row>
    <row r="447" spans="1:14" ht="15.75" customHeight="1">
      <c r="A447" s="366" t="s">
        <v>353</v>
      </c>
      <c r="B447" s="373">
        <v>968</v>
      </c>
      <c r="C447" s="373">
        <v>705</v>
      </c>
      <c r="D447" s="373" t="s">
        <v>1062</v>
      </c>
      <c r="E447" s="373">
        <v>500</v>
      </c>
      <c r="F447" s="379">
        <v>244</v>
      </c>
      <c r="G447" s="379">
        <v>226</v>
      </c>
      <c r="H447" s="1683">
        <f t="shared" si="76"/>
        <v>17</v>
      </c>
      <c r="I447" s="1684">
        <f>17-17</f>
        <v>0</v>
      </c>
      <c r="J447" s="1683">
        <f>17</f>
        <v>17</v>
      </c>
      <c r="K447" s="1684">
        <v>0</v>
      </c>
      <c r="L447" s="1683">
        <v>0</v>
      </c>
      <c r="M447" s="912"/>
      <c r="N447" s="912"/>
    </row>
    <row r="448" spans="1:14" ht="25.5" customHeight="1">
      <c r="A448" s="385" t="s">
        <v>1312</v>
      </c>
      <c r="B448" s="137">
        <v>968</v>
      </c>
      <c r="C448" s="137">
        <v>705</v>
      </c>
      <c r="D448" s="137" t="s">
        <v>1085</v>
      </c>
      <c r="E448" s="137"/>
      <c r="F448" s="380"/>
      <c r="G448" s="380"/>
      <c r="H448" s="726">
        <f>H450</f>
        <v>238</v>
      </c>
      <c r="I448" s="853">
        <f aca="true" t="shared" si="80" ref="I448:L449">I449</f>
        <v>56.6</v>
      </c>
      <c r="J448" s="853">
        <f t="shared" si="80"/>
        <v>96.4</v>
      </c>
      <c r="K448" s="853">
        <f t="shared" si="80"/>
        <v>85</v>
      </c>
      <c r="L448" s="726">
        <f t="shared" si="80"/>
        <v>0</v>
      </c>
      <c r="M448" s="912"/>
      <c r="N448" s="912"/>
    </row>
    <row r="449" spans="1:14" ht="15" customHeight="1">
      <c r="A449" s="385" t="s">
        <v>1186</v>
      </c>
      <c r="B449" s="1168">
        <v>968</v>
      </c>
      <c r="C449" s="1168">
        <v>705</v>
      </c>
      <c r="D449" s="1168" t="s">
        <v>1085</v>
      </c>
      <c r="E449" s="1168">
        <v>500</v>
      </c>
      <c r="F449" s="1162">
        <v>200</v>
      </c>
      <c r="G449" s="380"/>
      <c r="H449" s="726">
        <f>SUM(I449:L449)</f>
        <v>238</v>
      </c>
      <c r="I449" s="853">
        <f t="shared" si="80"/>
        <v>56.6</v>
      </c>
      <c r="J449" s="853">
        <f t="shared" si="80"/>
        <v>96.4</v>
      </c>
      <c r="K449" s="853">
        <f t="shared" si="80"/>
        <v>85</v>
      </c>
      <c r="L449" s="726">
        <f t="shared" si="80"/>
        <v>0</v>
      </c>
      <c r="M449" s="912"/>
      <c r="N449" s="912"/>
    </row>
    <row r="450" spans="1:14" ht="15.75" customHeight="1">
      <c r="A450" s="1161" t="s">
        <v>1063</v>
      </c>
      <c r="B450" s="1168">
        <v>968</v>
      </c>
      <c r="C450" s="1168">
        <v>705</v>
      </c>
      <c r="D450" s="1168" t="s">
        <v>1085</v>
      </c>
      <c r="E450" s="1168">
        <v>500</v>
      </c>
      <c r="F450" s="1162">
        <v>244</v>
      </c>
      <c r="G450" s="1162"/>
      <c r="H450" s="1169">
        <f>SUM(I450:L450)</f>
        <v>238</v>
      </c>
      <c r="I450" s="1169">
        <f aca="true" t="shared" si="81" ref="I450:L451">I451</f>
        <v>56.6</v>
      </c>
      <c r="J450" s="1169">
        <f t="shared" si="81"/>
        <v>96.4</v>
      </c>
      <c r="K450" s="1169">
        <f t="shared" si="81"/>
        <v>85</v>
      </c>
      <c r="L450" s="1169">
        <f t="shared" si="81"/>
        <v>0</v>
      </c>
      <c r="M450" s="912"/>
      <c r="N450" s="912"/>
    </row>
    <row r="451" spans="1:14" ht="15.75" customHeight="1">
      <c r="A451" s="363" t="s">
        <v>350</v>
      </c>
      <c r="B451" s="127">
        <v>968</v>
      </c>
      <c r="C451" s="127">
        <v>705</v>
      </c>
      <c r="D451" s="127" t="s">
        <v>1085</v>
      </c>
      <c r="E451" s="127">
        <v>500</v>
      </c>
      <c r="F451" s="377">
        <v>244</v>
      </c>
      <c r="G451" s="377">
        <v>200</v>
      </c>
      <c r="H451" s="1685">
        <f>SUM(I451:L451)</f>
        <v>238</v>
      </c>
      <c r="I451" s="1685">
        <f t="shared" si="81"/>
        <v>56.6</v>
      </c>
      <c r="J451" s="1685">
        <f t="shared" si="81"/>
        <v>96.4</v>
      </c>
      <c r="K451" s="1685">
        <f t="shared" si="81"/>
        <v>85</v>
      </c>
      <c r="L451" s="1685">
        <f t="shared" si="81"/>
        <v>0</v>
      </c>
      <c r="M451" s="912"/>
      <c r="N451" s="912"/>
    </row>
    <row r="452" spans="1:14" ht="15.75" customHeight="1" thickBot="1">
      <c r="A452" s="930" t="s">
        <v>353</v>
      </c>
      <c r="B452" s="931">
        <v>968</v>
      </c>
      <c r="C452" s="931">
        <v>705</v>
      </c>
      <c r="D452" s="931" t="s">
        <v>1085</v>
      </c>
      <c r="E452" s="931">
        <v>500</v>
      </c>
      <c r="F452" s="932">
        <v>244</v>
      </c>
      <c r="G452" s="932">
        <v>226</v>
      </c>
      <c r="H452" s="2421">
        <f>SUM(I452:L452)</f>
        <v>238</v>
      </c>
      <c r="I452" s="2416">
        <f>68-11.4</f>
        <v>56.6</v>
      </c>
      <c r="J452" s="2421">
        <f>85+11.4</f>
        <v>96.4</v>
      </c>
      <c r="K452" s="2416">
        <v>85</v>
      </c>
      <c r="L452" s="2421">
        <v>0</v>
      </c>
      <c r="M452" s="912"/>
      <c r="N452" s="912"/>
    </row>
    <row r="453" spans="1:14" ht="16.5" customHeight="1">
      <c r="A453" s="649" t="s">
        <v>378</v>
      </c>
      <c r="B453" s="641">
        <v>968</v>
      </c>
      <c r="C453" s="641">
        <v>707</v>
      </c>
      <c r="D453" s="641"/>
      <c r="E453" s="641"/>
      <c r="F453" s="642"/>
      <c r="G453" s="642"/>
      <c r="H453" s="2420">
        <f>SUM(I453:L453)</f>
        <v>4519.95</v>
      </c>
      <c r="I453" s="2419">
        <f>I454+I460+I465+I473+I482</f>
        <v>872.99</v>
      </c>
      <c r="J453" s="2419">
        <f>J454+J460+J465+J473+J482</f>
        <v>2276.25</v>
      </c>
      <c r="K453" s="2419">
        <f>K454+K460+K465+K473+K482</f>
        <v>1281.7</v>
      </c>
      <c r="L453" s="2419">
        <f>L454+L460+L465+L473+L482</f>
        <v>89.01</v>
      </c>
      <c r="M453" s="912"/>
      <c r="N453" s="912"/>
    </row>
    <row r="454" spans="1:14" ht="26.25" customHeight="1">
      <c r="A454" s="385" t="str">
        <f>Пцс!B48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B454" s="137">
        <v>968</v>
      </c>
      <c r="C454" s="137">
        <v>707</v>
      </c>
      <c r="D454" s="137" t="str">
        <f>Пцс!C48</f>
        <v>795 01 00</v>
      </c>
      <c r="E454" s="137"/>
      <c r="F454" s="380"/>
      <c r="G454" s="380"/>
      <c r="H454" s="726">
        <f>H456</f>
        <v>877.5</v>
      </c>
      <c r="I454" s="726">
        <f aca="true" t="shared" si="82" ref="I454:L456">I455</f>
        <v>10</v>
      </c>
      <c r="J454" s="726">
        <f t="shared" si="82"/>
        <v>400</v>
      </c>
      <c r="K454" s="726">
        <f t="shared" si="82"/>
        <v>467.5</v>
      </c>
      <c r="L454" s="726">
        <f t="shared" si="82"/>
        <v>0</v>
      </c>
      <c r="M454" s="912"/>
      <c r="N454" s="912"/>
    </row>
    <row r="455" spans="1:14" ht="16.5" customHeight="1">
      <c r="A455" s="385" t="s">
        <v>1186</v>
      </c>
      <c r="B455" s="1168">
        <v>968</v>
      </c>
      <c r="C455" s="1168">
        <v>707</v>
      </c>
      <c r="D455" s="1168" t="str">
        <f>D456</f>
        <v>795 01 00</v>
      </c>
      <c r="E455" s="1168">
        <v>500</v>
      </c>
      <c r="F455" s="1162">
        <v>200</v>
      </c>
      <c r="G455" s="380"/>
      <c r="H455" s="726">
        <f aca="true" t="shared" si="83" ref="H455:H461">SUM(I455:L455)</f>
        <v>877.5</v>
      </c>
      <c r="I455" s="853">
        <f t="shared" si="82"/>
        <v>10</v>
      </c>
      <c r="J455" s="853">
        <f t="shared" si="82"/>
        <v>400</v>
      </c>
      <c r="K455" s="853">
        <f t="shared" si="82"/>
        <v>467.5</v>
      </c>
      <c r="L455" s="726">
        <f t="shared" si="82"/>
        <v>0</v>
      </c>
      <c r="M455" s="912"/>
      <c r="N455" s="912"/>
    </row>
    <row r="456" spans="1:14" ht="16.5" customHeight="1">
      <c r="A456" s="1161" t="s">
        <v>1063</v>
      </c>
      <c r="B456" s="1168">
        <v>968</v>
      </c>
      <c r="C456" s="1168">
        <v>707</v>
      </c>
      <c r="D456" s="1168" t="str">
        <f>D457</f>
        <v>795 01 00</v>
      </c>
      <c r="E456" s="1168">
        <v>500</v>
      </c>
      <c r="F456" s="1162">
        <v>244</v>
      </c>
      <c r="G456" s="1162"/>
      <c r="H456" s="1169">
        <f t="shared" si="83"/>
        <v>877.5</v>
      </c>
      <c r="I456" s="1170">
        <f>I457</f>
        <v>10</v>
      </c>
      <c r="J456" s="1170">
        <f t="shared" si="82"/>
        <v>400</v>
      </c>
      <c r="K456" s="1170">
        <f t="shared" si="82"/>
        <v>467.5</v>
      </c>
      <c r="L456" s="1170">
        <f t="shared" si="82"/>
        <v>0</v>
      </c>
      <c r="M456" s="912"/>
      <c r="N456" s="912"/>
    </row>
    <row r="457" spans="1:14" ht="16.5" customHeight="1">
      <c r="A457" s="363" t="s">
        <v>350</v>
      </c>
      <c r="B457" s="127">
        <v>968</v>
      </c>
      <c r="C457" s="127">
        <v>707</v>
      </c>
      <c r="D457" s="127" t="str">
        <f>D458</f>
        <v>795 01 00</v>
      </c>
      <c r="E457" s="127">
        <v>500</v>
      </c>
      <c r="F457" s="377">
        <v>244</v>
      </c>
      <c r="G457" s="377">
        <v>200</v>
      </c>
      <c r="H457" s="1685">
        <f t="shared" si="83"/>
        <v>877.5</v>
      </c>
      <c r="I457" s="1685">
        <f>I458+I459</f>
        <v>10</v>
      </c>
      <c r="J457" s="1685">
        <f>J458+J459</f>
        <v>400</v>
      </c>
      <c r="K457" s="1685">
        <f>K458+K459</f>
        <v>467.5</v>
      </c>
      <c r="L457" s="1685">
        <f>L458+L459</f>
        <v>0</v>
      </c>
      <c r="M457" s="912"/>
      <c r="N457" s="912"/>
    </row>
    <row r="458" spans="1:14" ht="16.5" customHeight="1" thickBot="1">
      <c r="A458" s="636" t="s">
        <v>353</v>
      </c>
      <c r="B458" s="637">
        <v>968</v>
      </c>
      <c r="C458" s="637">
        <v>707</v>
      </c>
      <c r="D458" s="637" t="str">
        <f>D459</f>
        <v>795 01 00</v>
      </c>
      <c r="E458" s="637">
        <v>500</v>
      </c>
      <c r="F458" s="638">
        <v>244</v>
      </c>
      <c r="G458" s="638">
        <v>226</v>
      </c>
      <c r="H458" s="2355">
        <f t="shared" si="83"/>
        <v>550</v>
      </c>
      <c r="I458" s="2356">
        <f>30-20</f>
        <v>10</v>
      </c>
      <c r="J458" s="2355">
        <f>250+150</f>
        <v>400</v>
      </c>
      <c r="K458" s="2416">
        <v>140</v>
      </c>
      <c r="L458" s="2355">
        <v>0</v>
      </c>
      <c r="M458" s="912"/>
      <c r="N458" s="912"/>
    </row>
    <row r="459" spans="1:14" ht="16.5" customHeight="1">
      <c r="A459" s="365" t="s">
        <v>259</v>
      </c>
      <c r="B459" s="1144">
        <v>968</v>
      </c>
      <c r="C459" s="1144">
        <v>707</v>
      </c>
      <c r="D459" s="1144" t="str">
        <f>Пцс!C48</f>
        <v>795 01 00</v>
      </c>
      <c r="E459" s="1144">
        <v>500</v>
      </c>
      <c r="F459" s="1145">
        <v>244</v>
      </c>
      <c r="G459" s="1145">
        <v>290</v>
      </c>
      <c r="H459" s="2355">
        <f t="shared" si="83"/>
        <v>327.5</v>
      </c>
      <c r="I459" s="2356">
        <v>0</v>
      </c>
      <c r="J459" s="2355">
        <v>0</v>
      </c>
      <c r="K459" s="2356">
        <v>327.5</v>
      </c>
      <c r="L459" s="2355">
        <v>0</v>
      </c>
      <c r="M459" s="912"/>
      <c r="N459" s="912"/>
    </row>
    <row r="460" spans="1:14" ht="36.75" customHeight="1">
      <c r="A460" s="385" t="str">
        <f>Пцс!B51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460" s="137">
        <v>968</v>
      </c>
      <c r="C460" s="137">
        <v>707</v>
      </c>
      <c r="D460" s="137" t="str">
        <f>Пцс!C51</f>
        <v>795 04 00</v>
      </c>
      <c r="E460" s="137"/>
      <c r="F460" s="380"/>
      <c r="G460" s="380"/>
      <c r="H460" s="726">
        <f t="shared" si="83"/>
        <v>185</v>
      </c>
      <c r="I460" s="853">
        <f aca="true" t="shared" si="84" ref="I460:L461">I461</f>
        <v>10.99</v>
      </c>
      <c r="J460" s="853">
        <f t="shared" si="84"/>
        <v>140</v>
      </c>
      <c r="K460" s="853">
        <f t="shared" si="84"/>
        <v>15</v>
      </c>
      <c r="L460" s="726">
        <f t="shared" si="84"/>
        <v>19.01</v>
      </c>
      <c r="M460" s="912"/>
      <c r="N460" s="912"/>
    </row>
    <row r="461" spans="1:14" ht="16.5" customHeight="1">
      <c r="A461" s="385" t="s">
        <v>1186</v>
      </c>
      <c r="B461" s="1168">
        <v>968</v>
      </c>
      <c r="C461" s="1168">
        <v>707</v>
      </c>
      <c r="D461" s="1168" t="str">
        <f>D462</f>
        <v>795 04 00</v>
      </c>
      <c r="E461" s="1168">
        <v>500</v>
      </c>
      <c r="F461" s="1162">
        <v>200</v>
      </c>
      <c r="G461" s="380"/>
      <c r="H461" s="726">
        <f t="shared" si="83"/>
        <v>185</v>
      </c>
      <c r="I461" s="853">
        <f t="shared" si="84"/>
        <v>10.99</v>
      </c>
      <c r="J461" s="853">
        <f t="shared" si="84"/>
        <v>140</v>
      </c>
      <c r="K461" s="853">
        <f t="shared" si="84"/>
        <v>15</v>
      </c>
      <c r="L461" s="726">
        <f t="shared" si="84"/>
        <v>19.01</v>
      </c>
      <c r="M461" s="912"/>
      <c r="N461" s="912"/>
    </row>
    <row r="462" spans="1:14" ht="16.5" customHeight="1">
      <c r="A462" s="1161" t="s">
        <v>1063</v>
      </c>
      <c r="B462" s="1168">
        <v>968</v>
      </c>
      <c r="C462" s="1168">
        <v>707</v>
      </c>
      <c r="D462" s="1168" t="str">
        <f>D463</f>
        <v>795 04 00</v>
      </c>
      <c r="E462" s="1168">
        <v>500</v>
      </c>
      <c r="F462" s="1162">
        <v>244</v>
      </c>
      <c r="G462" s="1162"/>
      <c r="H462" s="1169">
        <f>H463</f>
        <v>185</v>
      </c>
      <c r="I462" s="1170">
        <f>I463</f>
        <v>10.99</v>
      </c>
      <c r="J462" s="1170">
        <f>J463</f>
        <v>140</v>
      </c>
      <c r="K462" s="1170">
        <f>K463</f>
        <v>15</v>
      </c>
      <c r="L462" s="1169">
        <f>L463</f>
        <v>19.01</v>
      </c>
      <c r="M462" s="912"/>
      <c r="N462" s="912"/>
    </row>
    <row r="463" spans="1:14" ht="16.5" customHeight="1">
      <c r="A463" s="363" t="s">
        <v>350</v>
      </c>
      <c r="B463" s="127">
        <v>968</v>
      </c>
      <c r="C463" s="127">
        <v>707</v>
      </c>
      <c r="D463" s="127" t="str">
        <f>D464</f>
        <v>795 04 00</v>
      </c>
      <c r="E463" s="127">
        <v>500</v>
      </c>
      <c r="F463" s="377">
        <v>244</v>
      </c>
      <c r="G463" s="377">
        <v>200</v>
      </c>
      <c r="H463" s="1685">
        <f>SUM(I463:L463)</f>
        <v>185</v>
      </c>
      <c r="I463" s="1685">
        <f>I464</f>
        <v>10.99</v>
      </c>
      <c r="J463" s="1685">
        <f>J464</f>
        <v>140</v>
      </c>
      <c r="K463" s="1685">
        <f>K464</f>
        <v>15</v>
      </c>
      <c r="L463" s="1685">
        <f>L464</f>
        <v>19.01</v>
      </c>
      <c r="M463" s="912"/>
      <c r="N463" s="912"/>
    </row>
    <row r="464" spans="1:14" ht="16.5" customHeight="1">
      <c r="A464" s="636" t="s">
        <v>353</v>
      </c>
      <c r="B464" s="373">
        <v>968</v>
      </c>
      <c r="C464" s="373">
        <v>707</v>
      </c>
      <c r="D464" s="373" t="str">
        <f>D460</f>
        <v>795 04 00</v>
      </c>
      <c r="E464" s="373">
        <v>500</v>
      </c>
      <c r="F464" s="373">
        <v>244</v>
      </c>
      <c r="G464" s="373">
        <v>226</v>
      </c>
      <c r="H464" s="2339">
        <f>SUM(I464:L464)</f>
        <v>185</v>
      </c>
      <c r="I464" s="2339">
        <v>10.99</v>
      </c>
      <c r="J464" s="2339">
        <f>95+55.99-10.99</f>
        <v>140</v>
      </c>
      <c r="K464" s="2339">
        <f>15</f>
        <v>15</v>
      </c>
      <c r="L464" s="2413">
        <f>19.01</f>
        <v>19.01</v>
      </c>
      <c r="M464" s="912"/>
      <c r="N464" s="912"/>
    </row>
    <row r="465" spans="1:14" ht="24" customHeight="1">
      <c r="A465" s="385" t="s">
        <v>1393</v>
      </c>
      <c r="B465" s="137">
        <v>968</v>
      </c>
      <c r="C465" s="137">
        <v>707</v>
      </c>
      <c r="D465" s="137" t="s">
        <v>1288</v>
      </c>
      <c r="E465" s="137"/>
      <c r="F465" s="380"/>
      <c r="G465" s="380"/>
      <c r="H465" s="726">
        <f>H467</f>
        <v>1545.45</v>
      </c>
      <c r="I465" s="853">
        <f aca="true" t="shared" si="85" ref="I465:L466">I466</f>
        <v>60</v>
      </c>
      <c r="J465" s="853">
        <f t="shared" si="85"/>
        <v>686.25</v>
      </c>
      <c r="K465" s="853">
        <f t="shared" si="85"/>
        <v>799.2</v>
      </c>
      <c r="L465" s="726">
        <f t="shared" si="85"/>
        <v>0</v>
      </c>
      <c r="M465" s="912"/>
      <c r="N465" s="912"/>
    </row>
    <row r="466" spans="1:14" ht="17.25" customHeight="1">
      <c r="A466" s="385" t="s">
        <v>1186</v>
      </c>
      <c r="B466" s="1168">
        <v>968</v>
      </c>
      <c r="C466" s="1168">
        <v>707</v>
      </c>
      <c r="D466" s="1168" t="s">
        <v>1288</v>
      </c>
      <c r="E466" s="1168">
        <v>500</v>
      </c>
      <c r="F466" s="1162">
        <v>200</v>
      </c>
      <c r="G466" s="380"/>
      <c r="H466" s="726">
        <f>SUM(I466:L466)</f>
        <v>1545.45</v>
      </c>
      <c r="I466" s="853">
        <f t="shared" si="85"/>
        <v>60</v>
      </c>
      <c r="J466" s="853">
        <f t="shared" si="85"/>
        <v>686.25</v>
      </c>
      <c r="K466" s="853">
        <f t="shared" si="85"/>
        <v>799.2</v>
      </c>
      <c r="L466" s="726">
        <f t="shared" si="85"/>
        <v>0</v>
      </c>
      <c r="M466" s="912"/>
      <c r="N466" s="912"/>
    </row>
    <row r="467" spans="1:14" ht="12.75">
      <c r="A467" s="1161" t="s">
        <v>1063</v>
      </c>
      <c r="B467" s="1168">
        <v>968</v>
      </c>
      <c r="C467" s="1168">
        <v>707</v>
      </c>
      <c r="D467" s="1168" t="s">
        <v>1288</v>
      </c>
      <c r="E467" s="1168">
        <v>500</v>
      </c>
      <c r="F467" s="1162">
        <v>244</v>
      </c>
      <c r="G467" s="1162"/>
      <c r="H467" s="1169">
        <f>H468+H471</f>
        <v>1545.45</v>
      </c>
      <c r="I467" s="1169">
        <f>I468+I471</f>
        <v>60</v>
      </c>
      <c r="J467" s="1169">
        <f>J468+J471</f>
        <v>686.25</v>
      </c>
      <c r="K467" s="1169">
        <f>K468+K471</f>
        <v>799.2</v>
      </c>
      <c r="L467" s="1169">
        <f>L468+L471</f>
        <v>0</v>
      </c>
      <c r="M467" s="912"/>
      <c r="N467" s="912"/>
    </row>
    <row r="468" spans="1:14" ht="12.75">
      <c r="A468" s="363" t="s">
        <v>350</v>
      </c>
      <c r="B468" s="127">
        <v>968</v>
      </c>
      <c r="C468" s="127">
        <v>707</v>
      </c>
      <c r="D468" s="127" t="s">
        <v>1288</v>
      </c>
      <c r="E468" s="127">
        <v>500</v>
      </c>
      <c r="F468" s="377">
        <v>244</v>
      </c>
      <c r="G468" s="377">
        <v>200</v>
      </c>
      <c r="H468" s="1685">
        <f>H469+H470</f>
        <v>1545.45</v>
      </c>
      <c r="I468" s="1685">
        <f>I469+I470</f>
        <v>60</v>
      </c>
      <c r="J468" s="1685">
        <f>J469+J470</f>
        <v>686.25</v>
      </c>
      <c r="K468" s="1686">
        <f>K469+K470</f>
        <v>799.2</v>
      </c>
      <c r="L468" s="1685">
        <f>L469+L470</f>
        <v>0</v>
      </c>
      <c r="M468" s="912"/>
      <c r="N468" s="912"/>
    </row>
    <row r="469" spans="1:14" ht="13.5" customHeight="1">
      <c r="A469" s="366" t="s">
        <v>353</v>
      </c>
      <c r="B469" s="373">
        <v>968</v>
      </c>
      <c r="C469" s="373">
        <v>707</v>
      </c>
      <c r="D469" s="373" t="s">
        <v>1288</v>
      </c>
      <c r="E469" s="373">
        <v>500</v>
      </c>
      <c r="F469" s="379">
        <v>244</v>
      </c>
      <c r="G469" s="379">
        <v>226</v>
      </c>
      <c r="H469" s="1683">
        <f>SUM(I469:L469)</f>
        <v>1485.45</v>
      </c>
      <c r="I469" s="1684">
        <v>0</v>
      </c>
      <c r="J469" s="1683">
        <v>686.25</v>
      </c>
      <c r="K469" s="1684">
        <v>799.2</v>
      </c>
      <c r="L469" s="1683">
        <v>0</v>
      </c>
      <c r="M469" s="912"/>
      <c r="N469" s="912"/>
    </row>
    <row r="470" spans="1:14" ht="13.5" customHeight="1">
      <c r="A470" s="365" t="s">
        <v>259</v>
      </c>
      <c r="B470" s="372">
        <v>968</v>
      </c>
      <c r="C470" s="372">
        <v>707</v>
      </c>
      <c r="D470" s="372" t="s">
        <v>1288</v>
      </c>
      <c r="E470" s="372">
        <v>500</v>
      </c>
      <c r="F470" s="378">
        <v>244</v>
      </c>
      <c r="G470" s="378">
        <v>290</v>
      </c>
      <c r="H470" s="2425">
        <f>SUM(I470:L470)</f>
        <v>60</v>
      </c>
      <c r="I470" s="2424">
        <v>60</v>
      </c>
      <c r="J470" s="2425">
        <v>0</v>
      </c>
      <c r="K470" s="2424">
        <v>0</v>
      </c>
      <c r="L470" s="2425">
        <v>0</v>
      </c>
      <c r="M470" s="912"/>
      <c r="N470" s="912"/>
    </row>
    <row r="471" spans="1:14" ht="13.5" customHeight="1" hidden="1">
      <c r="A471" s="363" t="s">
        <v>354</v>
      </c>
      <c r="B471" s="127">
        <v>968</v>
      </c>
      <c r="C471" s="127">
        <v>707</v>
      </c>
      <c r="D471" s="127" t="s">
        <v>1288</v>
      </c>
      <c r="E471" s="127">
        <v>500</v>
      </c>
      <c r="F471" s="377">
        <v>244</v>
      </c>
      <c r="G471" s="652">
        <v>300</v>
      </c>
      <c r="H471" s="2373">
        <f>H472</f>
        <v>0</v>
      </c>
      <c r="I471" s="2373">
        <f>I472</f>
        <v>0</v>
      </c>
      <c r="J471" s="2373">
        <f>J472</f>
        <v>0</v>
      </c>
      <c r="K471" s="2373">
        <f>K472</f>
        <v>0</v>
      </c>
      <c r="L471" s="2373">
        <f>L472</f>
        <v>0</v>
      </c>
      <c r="M471" s="912"/>
      <c r="N471" s="912"/>
    </row>
    <row r="472" spans="1:14" ht="13.5" customHeight="1" hidden="1">
      <c r="A472" s="366" t="s">
        <v>260</v>
      </c>
      <c r="B472" s="373">
        <v>968</v>
      </c>
      <c r="C472" s="373">
        <v>707</v>
      </c>
      <c r="D472" s="373" t="s">
        <v>1288</v>
      </c>
      <c r="E472" s="373">
        <v>500</v>
      </c>
      <c r="F472" s="379">
        <v>244</v>
      </c>
      <c r="G472" s="379">
        <v>310</v>
      </c>
      <c r="H472" s="2373">
        <f>SUM(I472:L472)</f>
        <v>0</v>
      </c>
      <c r="I472" s="2374">
        <v>0</v>
      </c>
      <c r="J472" s="2373">
        <v>0</v>
      </c>
      <c r="K472" s="2374">
        <v>0</v>
      </c>
      <c r="L472" s="2373">
        <v>0</v>
      </c>
      <c r="M472" s="912"/>
      <c r="N472" s="912"/>
    </row>
    <row r="473" spans="1:14" ht="26.25" customHeight="1">
      <c r="A473" s="385" t="s">
        <v>1394</v>
      </c>
      <c r="B473" s="137">
        <v>968</v>
      </c>
      <c r="C473" s="137">
        <v>707</v>
      </c>
      <c r="D473" s="137" t="str">
        <f>D475</f>
        <v>795 06 00</v>
      </c>
      <c r="E473" s="137"/>
      <c r="F473" s="380"/>
      <c r="G473" s="380"/>
      <c r="H473" s="726">
        <f>H475</f>
        <v>1812</v>
      </c>
      <c r="I473" s="853">
        <f aca="true" t="shared" si="86" ref="I473:L474">I474</f>
        <v>792</v>
      </c>
      <c r="J473" s="853">
        <f t="shared" si="86"/>
        <v>1020</v>
      </c>
      <c r="K473" s="853">
        <f t="shared" si="86"/>
        <v>0</v>
      </c>
      <c r="L473" s="726">
        <f t="shared" si="86"/>
        <v>0</v>
      </c>
      <c r="M473" s="912"/>
      <c r="N473" s="912"/>
    </row>
    <row r="474" spans="1:14" ht="16.5" customHeight="1">
      <c r="A474" s="385" t="s">
        <v>1186</v>
      </c>
      <c r="B474" s="1168">
        <v>968</v>
      </c>
      <c r="C474" s="1168">
        <v>707</v>
      </c>
      <c r="D474" s="1168" t="str">
        <f>D475</f>
        <v>795 06 00</v>
      </c>
      <c r="E474" s="1168">
        <v>500</v>
      </c>
      <c r="F474" s="1162">
        <v>200</v>
      </c>
      <c r="G474" s="380"/>
      <c r="H474" s="726">
        <f>SUM(I474:L474)</f>
        <v>1812</v>
      </c>
      <c r="I474" s="853">
        <f t="shared" si="86"/>
        <v>792</v>
      </c>
      <c r="J474" s="853">
        <f t="shared" si="86"/>
        <v>1020</v>
      </c>
      <c r="K474" s="853">
        <f t="shared" si="86"/>
        <v>0</v>
      </c>
      <c r="L474" s="726">
        <f t="shared" si="86"/>
        <v>0</v>
      </c>
      <c r="M474" s="912"/>
      <c r="N474" s="912"/>
    </row>
    <row r="475" spans="1:14" ht="12.75">
      <c r="A475" s="1161" t="s">
        <v>1063</v>
      </c>
      <c r="B475" s="1168">
        <v>968</v>
      </c>
      <c r="C475" s="1168">
        <v>707</v>
      </c>
      <c r="D475" s="1168" t="str">
        <f>D476</f>
        <v>795 06 00</v>
      </c>
      <c r="E475" s="1168">
        <v>500</v>
      </c>
      <c r="F475" s="1162">
        <v>244</v>
      </c>
      <c r="G475" s="1162"/>
      <c r="H475" s="1169">
        <f>H476+H480</f>
        <v>1812</v>
      </c>
      <c r="I475" s="1169">
        <f>I476+I480</f>
        <v>792</v>
      </c>
      <c r="J475" s="1169">
        <f>J476+J480</f>
        <v>1020</v>
      </c>
      <c r="K475" s="1169">
        <f>K476+K480</f>
        <v>0</v>
      </c>
      <c r="L475" s="1169">
        <f>L476+L480</f>
        <v>0</v>
      </c>
      <c r="M475" s="912"/>
      <c r="N475" s="912"/>
    </row>
    <row r="476" spans="1:14" ht="12.75">
      <c r="A476" s="363" t="s">
        <v>350</v>
      </c>
      <c r="B476" s="127">
        <v>968</v>
      </c>
      <c r="C476" s="127">
        <v>707</v>
      </c>
      <c r="D476" s="127" t="str">
        <f>D477</f>
        <v>795 06 00</v>
      </c>
      <c r="E476" s="127">
        <v>500</v>
      </c>
      <c r="F476" s="377">
        <v>244</v>
      </c>
      <c r="G476" s="377">
        <v>200</v>
      </c>
      <c r="H476" s="1685">
        <f>H477+H479</f>
        <v>1812</v>
      </c>
      <c r="I476" s="1685">
        <f>I477+I479</f>
        <v>792</v>
      </c>
      <c r="J476" s="1685">
        <f>J477+J479</f>
        <v>1020</v>
      </c>
      <c r="K476" s="1685">
        <f>K477+K479</f>
        <v>0</v>
      </c>
      <c r="L476" s="1685">
        <f>L477+L479</f>
        <v>0</v>
      </c>
      <c r="M476" s="912"/>
      <c r="N476" s="912"/>
    </row>
    <row r="477" spans="1:14" ht="12.75">
      <c r="A477" s="365" t="s">
        <v>351</v>
      </c>
      <c r="B477" s="373">
        <v>968</v>
      </c>
      <c r="C477" s="373">
        <v>707</v>
      </c>
      <c r="D477" s="373" t="str">
        <f>D478</f>
        <v>795 06 00</v>
      </c>
      <c r="E477" s="373">
        <v>598</v>
      </c>
      <c r="F477" s="373">
        <v>244</v>
      </c>
      <c r="G477" s="378">
        <v>220</v>
      </c>
      <c r="H477" s="2358">
        <f>H478</f>
        <v>1812</v>
      </c>
      <c r="I477" s="2358">
        <f>I478</f>
        <v>792</v>
      </c>
      <c r="J477" s="2358">
        <f>J478</f>
        <v>1020</v>
      </c>
      <c r="K477" s="2358">
        <f>K478</f>
        <v>0</v>
      </c>
      <c r="L477" s="2358">
        <f>L478</f>
        <v>0</v>
      </c>
      <c r="M477" s="912"/>
      <c r="N477" s="912"/>
    </row>
    <row r="478" spans="1:14" ht="15.75" customHeight="1">
      <c r="A478" s="636" t="s">
        <v>353</v>
      </c>
      <c r="B478" s="637">
        <v>968</v>
      </c>
      <c r="C478" s="637">
        <v>707</v>
      </c>
      <c r="D478" s="372" t="s">
        <v>1132</v>
      </c>
      <c r="E478" s="637">
        <v>500</v>
      </c>
      <c r="F478" s="638">
        <v>244</v>
      </c>
      <c r="G478" s="638">
        <v>226</v>
      </c>
      <c r="H478" s="2355">
        <f>SUM(I478:L478)</f>
        <v>1812</v>
      </c>
      <c r="I478" s="2356">
        <f>799.2-7.2</f>
        <v>792</v>
      </c>
      <c r="J478" s="2355">
        <f>1120-100</f>
        <v>1020</v>
      </c>
      <c r="K478" s="2356">
        <v>0</v>
      </c>
      <c r="L478" s="2355">
        <v>0</v>
      </c>
      <c r="M478" s="912"/>
      <c r="N478" s="912"/>
    </row>
    <row r="479" spans="1:14" ht="15.75" customHeight="1" hidden="1">
      <c r="A479" s="365" t="s">
        <v>259</v>
      </c>
      <c r="B479" s="372">
        <v>968</v>
      </c>
      <c r="C479" s="372">
        <v>707</v>
      </c>
      <c r="D479" s="372" t="s">
        <v>1132</v>
      </c>
      <c r="E479" s="372">
        <v>500</v>
      </c>
      <c r="F479" s="373">
        <v>244</v>
      </c>
      <c r="G479" s="378">
        <v>290</v>
      </c>
      <c r="H479" s="2355">
        <f>SUM(I479:L479)</f>
        <v>0</v>
      </c>
      <c r="I479" s="2424">
        <v>0</v>
      </c>
      <c r="J479" s="2425">
        <f>198-198</f>
        <v>0</v>
      </c>
      <c r="K479" s="2424">
        <v>0</v>
      </c>
      <c r="L479" s="2425">
        <v>0</v>
      </c>
      <c r="M479" s="912"/>
      <c r="N479" s="912"/>
    </row>
    <row r="480" spans="1:14" ht="15.75" customHeight="1" hidden="1">
      <c r="A480" s="363" t="s">
        <v>354</v>
      </c>
      <c r="B480" s="127">
        <v>968</v>
      </c>
      <c r="C480" s="127">
        <v>707</v>
      </c>
      <c r="D480" s="127" t="s">
        <v>257</v>
      </c>
      <c r="E480" s="127">
        <v>500</v>
      </c>
      <c r="F480" s="377">
        <v>240</v>
      </c>
      <c r="G480" s="652">
        <v>300</v>
      </c>
      <c r="H480" s="2372">
        <f>H481</f>
        <v>0</v>
      </c>
      <c r="I480" s="2372">
        <f>I481</f>
        <v>0</v>
      </c>
      <c r="J480" s="2400">
        <f>J481</f>
        <v>0</v>
      </c>
      <c r="K480" s="2372">
        <f>K481</f>
        <v>0</v>
      </c>
      <c r="L480" s="2372">
        <f>L481</f>
        <v>0</v>
      </c>
      <c r="M480" s="912"/>
      <c r="N480" s="912"/>
    </row>
    <row r="481" spans="1:14" ht="15.75" customHeight="1" hidden="1">
      <c r="A481" s="366" t="s">
        <v>260</v>
      </c>
      <c r="B481" s="373">
        <v>968</v>
      </c>
      <c r="C481" s="637">
        <v>707</v>
      </c>
      <c r="D481" s="637" t="s">
        <v>257</v>
      </c>
      <c r="E481" s="637">
        <v>500</v>
      </c>
      <c r="F481" s="638">
        <v>240</v>
      </c>
      <c r="G481" s="379">
        <v>310</v>
      </c>
      <c r="H481" s="2377">
        <f>SUM(I481:L481)</f>
        <v>0</v>
      </c>
      <c r="I481" s="2377">
        <v>0</v>
      </c>
      <c r="J481" s="2398">
        <v>0</v>
      </c>
      <c r="K481" s="2377">
        <v>0</v>
      </c>
      <c r="L481" s="2377">
        <f>330.725-286.01-44.715</f>
        <v>0</v>
      </c>
      <c r="M481" s="912"/>
      <c r="N481" s="912"/>
    </row>
    <row r="482" spans="1:14" ht="40.5" customHeight="1">
      <c r="A482" s="385" t="str">
        <f>Пцс!B52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482" s="137">
        <v>968</v>
      </c>
      <c r="C482" s="137">
        <v>707</v>
      </c>
      <c r="D482" s="137" t="str">
        <f>Пцс!C52</f>
        <v>795 05 00</v>
      </c>
      <c r="E482" s="137"/>
      <c r="F482" s="380"/>
      <c r="G482" s="380"/>
      <c r="H482" s="726">
        <f>H484</f>
        <v>100</v>
      </c>
      <c r="I482" s="853">
        <f aca="true" t="shared" si="87" ref="I482:L484">I483</f>
        <v>0</v>
      </c>
      <c r="J482" s="853">
        <f t="shared" si="87"/>
        <v>30</v>
      </c>
      <c r="K482" s="853">
        <f t="shared" si="87"/>
        <v>0</v>
      </c>
      <c r="L482" s="726">
        <f t="shared" si="87"/>
        <v>70</v>
      </c>
      <c r="M482" s="912"/>
      <c r="N482" s="912"/>
    </row>
    <row r="483" spans="1:14" ht="15.75" customHeight="1">
      <c r="A483" s="385" t="s">
        <v>1186</v>
      </c>
      <c r="B483" s="1168">
        <v>968</v>
      </c>
      <c r="C483" s="1168">
        <v>707</v>
      </c>
      <c r="D483" s="1168" t="str">
        <f>D484</f>
        <v>795 05 00</v>
      </c>
      <c r="E483" s="1168">
        <v>500</v>
      </c>
      <c r="F483" s="1162">
        <v>200</v>
      </c>
      <c r="G483" s="380"/>
      <c r="H483" s="726">
        <f>SUM(I483:L483)</f>
        <v>100</v>
      </c>
      <c r="I483" s="853">
        <f t="shared" si="87"/>
        <v>0</v>
      </c>
      <c r="J483" s="853">
        <f t="shared" si="87"/>
        <v>30</v>
      </c>
      <c r="K483" s="853">
        <f t="shared" si="87"/>
        <v>0</v>
      </c>
      <c r="L483" s="726">
        <f t="shared" si="87"/>
        <v>70</v>
      </c>
      <c r="M483" s="912"/>
      <c r="N483" s="912"/>
    </row>
    <row r="484" spans="1:14" ht="15.75" customHeight="1">
      <c r="A484" s="1161" t="s">
        <v>1063</v>
      </c>
      <c r="B484" s="1168">
        <v>968</v>
      </c>
      <c r="C484" s="1168">
        <v>707</v>
      </c>
      <c r="D484" s="1168" t="str">
        <f>D485</f>
        <v>795 05 00</v>
      </c>
      <c r="E484" s="1168">
        <v>500</v>
      </c>
      <c r="F484" s="1162">
        <v>244</v>
      </c>
      <c r="G484" s="1162"/>
      <c r="H484" s="1169">
        <f>SUM(I484:L484)</f>
        <v>100</v>
      </c>
      <c r="I484" s="1169">
        <f>I485</f>
        <v>0</v>
      </c>
      <c r="J484" s="1169">
        <f t="shared" si="87"/>
        <v>30</v>
      </c>
      <c r="K484" s="1169">
        <f t="shared" si="87"/>
        <v>0</v>
      </c>
      <c r="L484" s="1169">
        <f t="shared" si="87"/>
        <v>70</v>
      </c>
      <c r="M484" s="912"/>
      <c r="N484" s="912"/>
    </row>
    <row r="485" spans="1:14" ht="15.75" customHeight="1">
      <c r="A485" s="363" t="s">
        <v>350</v>
      </c>
      <c r="B485" s="127">
        <v>968</v>
      </c>
      <c r="C485" s="127">
        <v>707</v>
      </c>
      <c r="D485" s="127" t="str">
        <f>D486</f>
        <v>795 05 00</v>
      </c>
      <c r="E485" s="127">
        <v>500</v>
      </c>
      <c r="F485" s="377">
        <v>244</v>
      </c>
      <c r="G485" s="377">
        <v>200</v>
      </c>
      <c r="H485" s="1685">
        <f>H486+H488</f>
        <v>100</v>
      </c>
      <c r="I485" s="1685">
        <f>I486+I488</f>
        <v>0</v>
      </c>
      <c r="J485" s="1685">
        <f>J486+J488</f>
        <v>30</v>
      </c>
      <c r="K485" s="1685">
        <f>K486+K488</f>
        <v>0</v>
      </c>
      <c r="L485" s="1685">
        <f>L486+L488</f>
        <v>70</v>
      </c>
      <c r="M485" s="912"/>
      <c r="N485" s="912"/>
    </row>
    <row r="486" spans="1:14" ht="15.75" customHeight="1">
      <c r="A486" s="365" t="s">
        <v>351</v>
      </c>
      <c r="B486" s="373">
        <v>968</v>
      </c>
      <c r="C486" s="373">
        <v>707</v>
      </c>
      <c r="D486" s="373" t="str">
        <f>D487</f>
        <v>795 05 00</v>
      </c>
      <c r="E486" s="373">
        <v>598</v>
      </c>
      <c r="F486" s="373">
        <v>244</v>
      </c>
      <c r="G486" s="378">
        <v>220</v>
      </c>
      <c r="H486" s="2358">
        <f>H487</f>
        <v>70</v>
      </c>
      <c r="I486" s="2358">
        <f>I487</f>
        <v>0</v>
      </c>
      <c r="J486" s="2358">
        <f>J487</f>
        <v>0</v>
      </c>
      <c r="K486" s="2358">
        <f>K487</f>
        <v>0</v>
      </c>
      <c r="L486" s="2358">
        <f>L487</f>
        <v>70</v>
      </c>
      <c r="M486" s="912"/>
      <c r="N486" s="912"/>
    </row>
    <row r="487" spans="1:14" ht="15.75" customHeight="1">
      <c r="A487" s="636" t="s">
        <v>353</v>
      </c>
      <c r="B487" s="637">
        <v>968</v>
      </c>
      <c r="C487" s="637">
        <v>707</v>
      </c>
      <c r="D487" s="372" t="str">
        <f>Пцс!C52</f>
        <v>795 05 00</v>
      </c>
      <c r="E487" s="637">
        <v>500</v>
      </c>
      <c r="F487" s="638">
        <v>244</v>
      </c>
      <c r="G487" s="638">
        <v>226</v>
      </c>
      <c r="H487" s="2355">
        <f>SUM(I487:L487)</f>
        <v>70</v>
      </c>
      <c r="I487" s="2356">
        <v>0</v>
      </c>
      <c r="J487" s="2355">
        <v>0</v>
      </c>
      <c r="K487" s="2356">
        <v>0</v>
      </c>
      <c r="L487" s="2355">
        <v>70</v>
      </c>
      <c r="M487" s="912"/>
      <c r="N487" s="912"/>
    </row>
    <row r="488" spans="1:14" ht="15.75" customHeight="1">
      <c r="A488" s="365" t="s">
        <v>259</v>
      </c>
      <c r="B488" s="372">
        <v>968</v>
      </c>
      <c r="C488" s="372">
        <v>707</v>
      </c>
      <c r="D488" s="372" t="str">
        <f>Пцс!C52</f>
        <v>795 05 00</v>
      </c>
      <c r="E488" s="372">
        <v>500</v>
      </c>
      <c r="F488" s="373">
        <v>244</v>
      </c>
      <c r="G488" s="378">
        <v>290</v>
      </c>
      <c r="H488" s="2355">
        <f>SUM(I488:L488)</f>
        <v>30</v>
      </c>
      <c r="I488" s="2424">
        <f>30-30</f>
        <v>0</v>
      </c>
      <c r="J488" s="2425">
        <f>30</f>
        <v>30</v>
      </c>
      <c r="K488" s="2424">
        <v>0</v>
      </c>
      <c r="L488" s="2425">
        <v>0</v>
      </c>
      <c r="M488" s="912"/>
      <c r="N488" s="912"/>
    </row>
    <row r="489" spans="1:14" ht="12.75">
      <c r="A489" s="1653" t="s">
        <v>10</v>
      </c>
      <c r="B489" s="371">
        <v>968</v>
      </c>
      <c r="C489" s="371">
        <v>709</v>
      </c>
      <c r="D489" s="371"/>
      <c r="E489" s="371"/>
      <c r="F489" s="376"/>
      <c r="G489" s="376"/>
      <c r="H489" s="2427">
        <f>H490+H499</f>
        <v>136.5</v>
      </c>
      <c r="I489" s="2428">
        <f>I490+I499</f>
        <v>0</v>
      </c>
      <c r="J489" s="2428">
        <f>J490+J499</f>
        <v>106.5</v>
      </c>
      <c r="K489" s="2428">
        <f>K490+K499</f>
        <v>30</v>
      </c>
      <c r="L489" s="2429">
        <f>L490+L499</f>
        <v>0</v>
      </c>
      <c r="M489" s="912"/>
      <c r="N489" s="912"/>
    </row>
    <row r="490" spans="1:14" ht="28.5" customHeight="1">
      <c r="A490" s="385" t="s">
        <v>1395</v>
      </c>
      <c r="B490" s="137">
        <v>968</v>
      </c>
      <c r="C490" s="137">
        <v>709</v>
      </c>
      <c r="D490" s="137" t="str">
        <f>D492</f>
        <v>795 01 00</v>
      </c>
      <c r="E490" s="137"/>
      <c r="F490" s="380"/>
      <c r="G490" s="380"/>
      <c r="H490" s="726">
        <f>H492</f>
        <v>30</v>
      </c>
      <c r="I490" s="726">
        <f aca="true" t="shared" si="88" ref="I490:L491">I491</f>
        <v>0</v>
      </c>
      <c r="J490" s="726">
        <f t="shared" si="88"/>
        <v>0</v>
      </c>
      <c r="K490" s="726">
        <f t="shared" si="88"/>
        <v>30</v>
      </c>
      <c r="L490" s="726">
        <f t="shared" si="88"/>
        <v>0</v>
      </c>
      <c r="M490" s="912"/>
      <c r="N490" s="912"/>
    </row>
    <row r="491" spans="1:14" ht="17.25" customHeight="1">
      <c r="A491" s="385" t="s">
        <v>1186</v>
      </c>
      <c r="B491" s="1168">
        <v>968</v>
      </c>
      <c r="C491" s="1168">
        <v>709</v>
      </c>
      <c r="D491" s="1168" t="str">
        <f aca="true" t="shared" si="89" ref="D491:D496">D492</f>
        <v>795 01 00</v>
      </c>
      <c r="E491" s="1168">
        <v>500</v>
      </c>
      <c r="F491" s="1162">
        <v>200</v>
      </c>
      <c r="G491" s="380"/>
      <c r="H491" s="726">
        <f>SUM(I491:L491)</f>
        <v>30</v>
      </c>
      <c r="I491" s="853">
        <f t="shared" si="88"/>
        <v>0</v>
      </c>
      <c r="J491" s="853">
        <f t="shared" si="88"/>
        <v>0</v>
      </c>
      <c r="K491" s="853">
        <f t="shared" si="88"/>
        <v>30</v>
      </c>
      <c r="L491" s="726">
        <f t="shared" si="88"/>
        <v>0</v>
      </c>
      <c r="M491" s="912"/>
      <c r="N491" s="912"/>
    </row>
    <row r="492" spans="1:14" ht="12.75">
      <c r="A492" s="1161" t="s">
        <v>1063</v>
      </c>
      <c r="B492" s="1168">
        <v>968</v>
      </c>
      <c r="C492" s="1168">
        <v>709</v>
      </c>
      <c r="D492" s="1168" t="str">
        <f t="shared" si="89"/>
        <v>795 01 00</v>
      </c>
      <c r="E492" s="1168">
        <v>500</v>
      </c>
      <c r="F492" s="1162">
        <v>244</v>
      </c>
      <c r="G492" s="1162"/>
      <c r="H492" s="1169">
        <f>SUM(I492:L492)</f>
        <v>30</v>
      </c>
      <c r="I492" s="1170">
        <f>I493+I496</f>
        <v>0</v>
      </c>
      <c r="J492" s="1170">
        <f>J493+J496</f>
        <v>0</v>
      </c>
      <c r="K492" s="1170">
        <f>K493+K496</f>
        <v>30</v>
      </c>
      <c r="L492" s="1169">
        <f>L493+L496</f>
        <v>0</v>
      </c>
      <c r="M492" s="912"/>
      <c r="N492" s="912"/>
    </row>
    <row r="493" spans="1:14" ht="12.75">
      <c r="A493" s="363" t="s">
        <v>350</v>
      </c>
      <c r="B493" s="127">
        <v>968</v>
      </c>
      <c r="C493" s="127">
        <v>709</v>
      </c>
      <c r="D493" s="127" t="str">
        <f t="shared" si="89"/>
        <v>795 01 00</v>
      </c>
      <c r="E493" s="127">
        <v>500</v>
      </c>
      <c r="F493" s="377">
        <v>244</v>
      </c>
      <c r="G493" s="377">
        <v>200</v>
      </c>
      <c r="H493" s="1685">
        <f>H494+H495</f>
        <v>30</v>
      </c>
      <c r="I493" s="1685">
        <f>I494+I495</f>
        <v>0</v>
      </c>
      <c r="J493" s="1685">
        <f>J494+J495</f>
        <v>0</v>
      </c>
      <c r="K493" s="1685">
        <f>K494+K495</f>
        <v>30</v>
      </c>
      <c r="L493" s="1685">
        <f>L494+L495</f>
        <v>0</v>
      </c>
      <c r="M493" s="912"/>
      <c r="N493" s="912"/>
    </row>
    <row r="494" spans="1:14" ht="16.5" customHeight="1" thickBot="1">
      <c r="A494" s="636" t="s">
        <v>353</v>
      </c>
      <c r="B494" s="637">
        <v>968</v>
      </c>
      <c r="C494" s="637">
        <v>709</v>
      </c>
      <c r="D494" s="637" t="str">
        <f t="shared" si="89"/>
        <v>795 01 00</v>
      </c>
      <c r="E494" s="637">
        <v>500</v>
      </c>
      <c r="F494" s="638">
        <v>244</v>
      </c>
      <c r="G494" s="638">
        <v>226</v>
      </c>
      <c r="H494" s="2355">
        <f aca="true" t="shared" si="90" ref="H494:H500">SUM(I494:L494)</f>
        <v>30</v>
      </c>
      <c r="I494" s="2356">
        <v>0</v>
      </c>
      <c r="J494" s="2355">
        <v>0</v>
      </c>
      <c r="K494" s="2416">
        <v>30</v>
      </c>
      <c r="L494" s="2355">
        <v>0</v>
      </c>
      <c r="M494" s="912"/>
      <c r="N494" s="912"/>
    </row>
    <row r="495" spans="1:14" ht="16.5" customHeight="1">
      <c r="A495" s="365" t="s">
        <v>259</v>
      </c>
      <c r="B495" s="1144">
        <v>968</v>
      </c>
      <c r="C495" s="1144">
        <v>709</v>
      </c>
      <c r="D495" s="1144" t="str">
        <f t="shared" si="89"/>
        <v>795 01 00</v>
      </c>
      <c r="E495" s="1144">
        <v>500</v>
      </c>
      <c r="F495" s="1145">
        <v>244</v>
      </c>
      <c r="G495" s="1145">
        <v>290</v>
      </c>
      <c r="H495" s="2355">
        <f t="shared" si="90"/>
        <v>0</v>
      </c>
      <c r="I495" s="2356">
        <v>0</v>
      </c>
      <c r="J495" s="2355">
        <v>0</v>
      </c>
      <c r="K495" s="2356">
        <f>130-130</f>
        <v>0</v>
      </c>
      <c r="L495" s="2355">
        <v>0</v>
      </c>
      <c r="M495" s="912"/>
      <c r="N495" s="912"/>
    </row>
    <row r="496" spans="1:14" ht="16.5" customHeight="1" hidden="1">
      <c r="A496" s="363" t="s">
        <v>354</v>
      </c>
      <c r="B496" s="127">
        <v>968</v>
      </c>
      <c r="C496" s="127">
        <v>709</v>
      </c>
      <c r="D496" s="127" t="str">
        <f t="shared" si="89"/>
        <v>795 01 00</v>
      </c>
      <c r="E496" s="127">
        <v>500</v>
      </c>
      <c r="F496" s="377">
        <v>240</v>
      </c>
      <c r="G496" s="377">
        <v>300</v>
      </c>
      <c r="H496" s="2375">
        <f t="shared" si="90"/>
        <v>0</v>
      </c>
      <c r="I496" s="2375">
        <f>SUM(I497:I498)</f>
        <v>0</v>
      </c>
      <c r="J496" s="2375">
        <f>SUM(J497:J498)</f>
        <v>0</v>
      </c>
      <c r="K496" s="2375">
        <f>SUM(K497:K498)</f>
        <v>0</v>
      </c>
      <c r="L496" s="2375">
        <f>SUM(L497:L498)</f>
        <v>0</v>
      </c>
      <c r="M496" s="912"/>
      <c r="N496" s="912"/>
    </row>
    <row r="497" spans="1:14" ht="16.5" customHeight="1" hidden="1">
      <c r="A497" s="366" t="s">
        <v>260</v>
      </c>
      <c r="B497" s="373">
        <v>968</v>
      </c>
      <c r="C497" s="637">
        <v>709</v>
      </c>
      <c r="D497" s="637" t="s">
        <v>420</v>
      </c>
      <c r="E497" s="637">
        <v>500</v>
      </c>
      <c r="F497" s="638">
        <v>240</v>
      </c>
      <c r="G497" s="379">
        <v>310</v>
      </c>
      <c r="H497" s="2375">
        <f t="shared" si="90"/>
        <v>0</v>
      </c>
      <c r="I497" s="2376">
        <v>0</v>
      </c>
      <c r="J497" s="2376">
        <v>0</v>
      </c>
      <c r="K497" s="2378">
        <v>0</v>
      </c>
      <c r="L497" s="2406">
        <v>0</v>
      </c>
      <c r="M497" s="912"/>
      <c r="N497" s="912"/>
    </row>
    <row r="498" spans="1:14" ht="16.5" customHeight="1" hidden="1" thickBot="1">
      <c r="A498" s="366" t="s">
        <v>261</v>
      </c>
      <c r="B498" s="373">
        <v>968</v>
      </c>
      <c r="C498" s="637">
        <v>709</v>
      </c>
      <c r="D498" s="637" t="s">
        <v>11</v>
      </c>
      <c r="E498" s="637">
        <v>500</v>
      </c>
      <c r="F498" s="638"/>
      <c r="G498" s="379">
        <v>340</v>
      </c>
      <c r="H498" s="2377">
        <f t="shared" si="90"/>
        <v>0</v>
      </c>
      <c r="I498" s="2378">
        <v>0</v>
      </c>
      <c r="J498" s="2377">
        <f>30-30</f>
        <v>0</v>
      </c>
      <c r="K498" s="2378">
        <v>0</v>
      </c>
      <c r="L498" s="2395">
        <v>0</v>
      </c>
      <c r="M498" s="912"/>
      <c r="N498" s="912"/>
    </row>
    <row r="499" spans="1:14" ht="40.5" customHeight="1">
      <c r="A499" s="385" t="s">
        <v>1392</v>
      </c>
      <c r="B499" s="137">
        <v>968</v>
      </c>
      <c r="C499" s="137">
        <v>709</v>
      </c>
      <c r="D499" s="137" t="str">
        <f>D501</f>
        <v>795 04 00</v>
      </c>
      <c r="E499" s="137"/>
      <c r="F499" s="380"/>
      <c r="G499" s="380"/>
      <c r="H499" s="726">
        <f t="shared" si="90"/>
        <v>106.5</v>
      </c>
      <c r="I499" s="853">
        <f aca="true" t="shared" si="91" ref="I499:L500">I500</f>
        <v>0</v>
      </c>
      <c r="J499" s="853">
        <f t="shared" si="91"/>
        <v>106.5</v>
      </c>
      <c r="K499" s="853">
        <f t="shared" si="91"/>
        <v>0</v>
      </c>
      <c r="L499" s="726">
        <f t="shared" si="91"/>
        <v>0</v>
      </c>
      <c r="M499" s="912"/>
      <c r="N499" s="912"/>
    </row>
    <row r="500" spans="1:14" ht="15" customHeight="1">
      <c r="A500" s="385" t="s">
        <v>1186</v>
      </c>
      <c r="B500" s="1168">
        <v>968</v>
      </c>
      <c r="C500" s="1168">
        <v>709</v>
      </c>
      <c r="D500" s="1168" t="str">
        <f>D501</f>
        <v>795 04 00</v>
      </c>
      <c r="E500" s="1168">
        <v>500</v>
      </c>
      <c r="F500" s="1162">
        <v>200</v>
      </c>
      <c r="G500" s="380"/>
      <c r="H500" s="726">
        <f t="shared" si="90"/>
        <v>106.5</v>
      </c>
      <c r="I500" s="853">
        <f t="shared" si="91"/>
        <v>0</v>
      </c>
      <c r="J500" s="853">
        <f t="shared" si="91"/>
        <v>106.5</v>
      </c>
      <c r="K500" s="853">
        <f t="shared" si="91"/>
        <v>0</v>
      </c>
      <c r="L500" s="726">
        <f t="shared" si="91"/>
        <v>0</v>
      </c>
      <c r="M500" s="912"/>
      <c r="N500" s="912"/>
    </row>
    <row r="501" spans="1:14" ht="16.5" customHeight="1">
      <c r="A501" s="1161" t="s">
        <v>1063</v>
      </c>
      <c r="B501" s="1168">
        <v>968</v>
      </c>
      <c r="C501" s="1168">
        <v>709</v>
      </c>
      <c r="D501" s="1168" t="str">
        <f>D502</f>
        <v>795 04 00</v>
      </c>
      <c r="E501" s="1168">
        <v>500</v>
      </c>
      <c r="F501" s="1162">
        <v>244</v>
      </c>
      <c r="G501" s="1162"/>
      <c r="H501" s="1169">
        <f>H502</f>
        <v>106.5</v>
      </c>
      <c r="I501" s="1170">
        <f>I502</f>
        <v>0</v>
      </c>
      <c r="J501" s="1170">
        <f>J502</f>
        <v>106.5</v>
      </c>
      <c r="K501" s="1170">
        <f>K502</f>
        <v>0</v>
      </c>
      <c r="L501" s="1169">
        <f>L502</f>
        <v>0</v>
      </c>
      <c r="M501" s="912"/>
      <c r="N501" s="912"/>
    </row>
    <row r="502" spans="1:14" ht="12.75" customHeight="1">
      <c r="A502" s="363" t="s">
        <v>350</v>
      </c>
      <c r="B502" s="127">
        <v>968</v>
      </c>
      <c r="C502" s="127">
        <v>709</v>
      </c>
      <c r="D502" s="127" t="str">
        <f>D503</f>
        <v>795 04 00</v>
      </c>
      <c r="E502" s="127">
        <v>500</v>
      </c>
      <c r="F502" s="377">
        <v>244</v>
      </c>
      <c r="G502" s="377">
        <v>200</v>
      </c>
      <c r="H502" s="1685">
        <f aca="true" t="shared" si="92" ref="H502:H508">SUM(I502:L502)</f>
        <v>106.5</v>
      </c>
      <c r="I502" s="1685">
        <f>SUM(I503:I504)</f>
        <v>0</v>
      </c>
      <c r="J502" s="1685">
        <f>SUM(J503:J504)</f>
        <v>106.5</v>
      </c>
      <c r="K502" s="1685">
        <f>SUM(K503:K504)</f>
        <v>0</v>
      </c>
      <c r="L502" s="1685">
        <f>SUM(L503:L504)</f>
        <v>0</v>
      </c>
      <c r="M502" s="912"/>
      <c r="N502" s="912"/>
    </row>
    <row r="503" spans="1:14" ht="16.5" customHeight="1">
      <c r="A503" s="636" t="s">
        <v>353</v>
      </c>
      <c r="B503" s="373">
        <v>968</v>
      </c>
      <c r="C503" s="373">
        <v>709</v>
      </c>
      <c r="D503" s="373" t="s">
        <v>151</v>
      </c>
      <c r="E503" s="373">
        <v>500</v>
      </c>
      <c r="F503" s="373">
        <v>244</v>
      </c>
      <c r="G503" s="373">
        <v>226</v>
      </c>
      <c r="H503" s="2339">
        <f t="shared" si="92"/>
        <v>76.5</v>
      </c>
      <c r="I503" s="2339">
        <f>76.5+15-91.5</f>
        <v>0</v>
      </c>
      <c r="J503" s="2339">
        <f>15+61.5</f>
        <v>76.5</v>
      </c>
      <c r="K503" s="2339">
        <f>15-15</f>
        <v>0</v>
      </c>
      <c r="L503" s="2413">
        <f>15-15</f>
        <v>0</v>
      </c>
      <c r="M503" s="912"/>
      <c r="N503" s="912"/>
    </row>
    <row r="504" spans="1:14" ht="16.5" customHeight="1" thickBot="1">
      <c r="A504" s="365" t="s">
        <v>259</v>
      </c>
      <c r="B504" s="373">
        <v>968</v>
      </c>
      <c r="C504" s="373">
        <v>709</v>
      </c>
      <c r="D504" s="373" t="s">
        <v>151</v>
      </c>
      <c r="E504" s="373">
        <v>500</v>
      </c>
      <c r="F504" s="373">
        <v>244</v>
      </c>
      <c r="G504" s="373">
        <v>290</v>
      </c>
      <c r="H504" s="2339">
        <f t="shared" si="92"/>
        <v>30</v>
      </c>
      <c r="I504" s="2339">
        <f>90-90</f>
        <v>0</v>
      </c>
      <c r="J504" s="2339">
        <f>30</f>
        <v>30</v>
      </c>
      <c r="K504" s="2339">
        <f>20-20</f>
        <v>0</v>
      </c>
      <c r="L504" s="2413">
        <v>0</v>
      </c>
      <c r="M504" s="912"/>
      <c r="N504" s="912"/>
    </row>
    <row r="505" spans="1:14" ht="16.5" customHeight="1" thickBot="1">
      <c r="A505" s="644" t="s">
        <v>910</v>
      </c>
      <c r="B505" s="1994">
        <v>968</v>
      </c>
      <c r="C505" s="1994">
        <v>800</v>
      </c>
      <c r="D505" s="1994"/>
      <c r="E505" s="1994"/>
      <c r="F505" s="1995"/>
      <c r="G505" s="1995"/>
      <c r="H505" s="2426">
        <f t="shared" si="92"/>
        <v>13024.315999999999</v>
      </c>
      <c r="I505" s="2426">
        <f>I506+I515</f>
        <v>3333.205</v>
      </c>
      <c r="J505" s="2426">
        <f>J506+J515</f>
        <v>4699.111</v>
      </c>
      <c r="K505" s="2426">
        <f>K506+K515</f>
        <v>2739</v>
      </c>
      <c r="L505" s="2426">
        <f>L506+L515</f>
        <v>2253</v>
      </c>
      <c r="M505" s="912"/>
      <c r="N505" s="912"/>
    </row>
    <row r="506" spans="1:14" ht="18" customHeight="1">
      <c r="A506" s="649" t="s">
        <v>691</v>
      </c>
      <c r="B506" s="641">
        <v>968</v>
      </c>
      <c r="C506" s="641">
        <v>801</v>
      </c>
      <c r="D506" s="641"/>
      <c r="E506" s="641"/>
      <c r="F506" s="642"/>
      <c r="G506" s="642"/>
      <c r="H506" s="2420">
        <f t="shared" si="92"/>
        <v>10822.586</v>
      </c>
      <c r="I506" s="2419">
        <f>I507</f>
        <v>2864.475</v>
      </c>
      <c r="J506" s="2419">
        <f>J507</f>
        <v>4155.111</v>
      </c>
      <c r="K506" s="2419">
        <f>K507</f>
        <v>2097</v>
      </c>
      <c r="L506" s="2419">
        <f>L507</f>
        <v>1706</v>
      </c>
      <c r="M506" s="912"/>
      <c r="N506" s="912"/>
    </row>
    <row r="507" spans="1:14" ht="49.5" customHeight="1">
      <c r="A507" s="2362" t="s">
        <v>1396</v>
      </c>
      <c r="B507" s="1694">
        <v>968</v>
      </c>
      <c r="C507" s="1694">
        <v>801</v>
      </c>
      <c r="D507" s="1694" t="s">
        <v>1289</v>
      </c>
      <c r="E507" s="137"/>
      <c r="F507" s="380"/>
      <c r="G507" s="380"/>
      <c r="H507" s="726">
        <f t="shared" si="92"/>
        <v>10822.586</v>
      </c>
      <c r="I507" s="853">
        <f aca="true" t="shared" si="93" ref="I507:L508">I508</f>
        <v>2864.475</v>
      </c>
      <c r="J507" s="853">
        <f t="shared" si="93"/>
        <v>4155.111</v>
      </c>
      <c r="K507" s="853">
        <f t="shared" si="93"/>
        <v>2097</v>
      </c>
      <c r="L507" s="726">
        <f t="shared" si="93"/>
        <v>1706</v>
      </c>
      <c r="M507" s="912"/>
      <c r="N507" s="912"/>
    </row>
    <row r="508" spans="1:14" ht="16.5" customHeight="1">
      <c r="A508" s="385" t="s">
        <v>1186</v>
      </c>
      <c r="B508" s="1168">
        <v>968</v>
      </c>
      <c r="C508" s="1168">
        <v>801</v>
      </c>
      <c r="D508" s="1168" t="s">
        <v>1289</v>
      </c>
      <c r="E508" s="1168">
        <v>500</v>
      </c>
      <c r="F508" s="1162">
        <v>200</v>
      </c>
      <c r="G508" s="380"/>
      <c r="H508" s="726">
        <f t="shared" si="92"/>
        <v>10822.586</v>
      </c>
      <c r="I508" s="853">
        <f t="shared" si="93"/>
        <v>2864.475</v>
      </c>
      <c r="J508" s="853">
        <f t="shared" si="93"/>
        <v>4155.111</v>
      </c>
      <c r="K508" s="853">
        <f t="shared" si="93"/>
        <v>2097</v>
      </c>
      <c r="L508" s="726">
        <f t="shared" si="93"/>
        <v>1706</v>
      </c>
      <c r="M508" s="912"/>
      <c r="N508" s="912"/>
    </row>
    <row r="509" spans="1:14" ht="12.75">
      <c r="A509" s="1161" t="s">
        <v>1063</v>
      </c>
      <c r="B509" s="1168">
        <v>968</v>
      </c>
      <c r="C509" s="1168">
        <v>801</v>
      </c>
      <c r="D509" s="1168" t="s">
        <v>1289</v>
      </c>
      <c r="E509" s="1168">
        <v>500</v>
      </c>
      <c r="F509" s="1162">
        <v>244</v>
      </c>
      <c r="G509" s="1162"/>
      <c r="H509" s="1169">
        <f>H510+H513</f>
        <v>10822.586</v>
      </c>
      <c r="I509" s="1169">
        <f>I510+I513</f>
        <v>2864.475</v>
      </c>
      <c r="J509" s="1169">
        <f>J510+J513</f>
        <v>4155.111</v>
      </c>
      <c r="K509" s="1169">
        <f>K510+K513</f>
        <v>2097</v>
      </c>
      <c r="L509" s="1169">
        <f>L510+L513</f>
        <v>1706</v>
      </c>
      <c r="M509" s="912"/>
      <c r="N509" s="912"/>
    </row>
    <row r="510" spans="1:14" ht="12.75">
      <c r="A510" s="363" t="s">
        <v>350</v>
      </c>
      <c r="B510" s="127">
        <v>968</v>
      </c>
      <c r="C510" s="127">
        <v>801</v>
      </c>
      <c r="D510" s="127" t="s">
        <v>1289</v>
      </c>
      <c r="E510" s="127">
        <v>500</v>
      </c>
      <c r="F510" s="377">
        <v>244</v>
      </c>
      <c r="G510" s="377">
        <v>200</v>
      </c>
      <c r="H510" s="1685">
        <f>H511+H512</f>
        <v>10822.586</v>
      </c>
      <c r="I510" s="1685">
        <f>I511+I512</f>
        <v>2864.475</v>
      </c>
      <c r="J510" s="1685">
        <f>J511+J512</f>
        <v>4155.111</v>
      </c>
      <c r="K510" s="1685">
        <f>K511+K512</f>
        <v>2097</v>
      </c>
      <c r="L510" s="1685">
        <f>L511+L512</f>
        <v>1706</v>
      </c>
      <c r="M510" s="912"/>
      <c r="N510" s="912"/>
    </row>
    <row r="511" spans="1:14" ht="12.75">
      <c r="A511" s="366" t="s">
        <v>353</v>
      </c>
      <c r="B511" s="373">
        <v>968</v>
      </c>
      <c r="C511" s="373">
        <v>801</v>
      </c>
      <c r="D511" s="373" t="s">
        <v>1289</v>
      </c>
      <c r="E511" s="373">
        <v>500</v>
      </c>
      <c r="F511" s="379">
        <v>244</v>
      </c>
      <c r="G511" s="379">
        <v>226</v>
      </c>
      <c r="H511" s="1683">
        <f>SUM(I511:L511)</f>
        <v>5491.786</v>
      </c>
      <c r="I511" s="1684">
        <f>1805.5-31.5-435.78+20.28+565.286</f>
        <v>1923.786</v>
      </c>
      <c r="J511" s="1683">
        <f>2630-33+600-617</f>
        <v>2580</v>
      </c>
      <c r="K511" s="1683">
        <f>742-13</f>
        <v>729</v>
      </c>
      <c r="L511" s="1683">
        <v>259</v>
      </c>
      <c r="M511" s="912"/>
      <c r="N511" s="912"/>
    </row>
    <row r="512" spans="1:14" ht="12.75">
      <c r="A512" s="365" t="s">
        <v>259</v>
      </c>
      <c r="B512" s="372">
        <v>968</v>
      </c>
      <c r="C512" s="372">
        <v>801</v>
      </c>
      <c r="D512" s="372" t="s">
        <v>1289</v>
      </c>
      <c r="E512" s="372">
        <v>500</v>
      </c>
      <c r="F512" s="378">
        <v>244</v>
      </c>
      <c r="G512" s="378">
        <v>290</v>
      </c>
      <c r="H512" s="2425">
        <f>SUM(I512:L512)</f>
        <v>5330.799999999999</v>
      </c>
      <c r="I512" s="2424">
        <f>1131+83.5-60.42-20.28-193.111</f>
        <v>940.689</v>
      </c>
      <c r="J512" s="2425">
        <f>1755-600+198+222.111</f>
        <v>1575.1109999999999</v>
      </c>
      <c r="K512" s="2425">
        <v>1368</v>
      </c>
      <c r="L512" s="2425">
        <v>1447</v>
      </c>
      <c r="M512" s="912"/>
      <c r="N512" s="912"/>
    </row>
    <row r="513" spans="1:14" ht="12.75" hidden="1">
      <c r="A513" s="363" t="s">
        <v>354</v>
      </c>
      <c r="B513" s="127">
        <v>968</v>
      </c>
      <c r="C513" s="127">
        <v>801</v>
      </c>
      <c r="D513" s="127" t="s">
        <v>258</v>
      </c>
      <c r="E513" s="127">
        <v>500</v>
      </c>
      <c r="F513" s="377"/>
      <c r="G513" s="377">
        <v>300</v>
      </c>
      <c r="H513" s="2373">
        <f>H514</f>
        <v>0</v>
      </c>
      <c r="I513" s="2373">
        <f>I514</f>
        <v>0</v>
      </c>
      <c r="J513" s="2373">
        <f>J514</f>
        <v>0</v>
      </c>
      <c r="K513" s="2373">
        <f>K514</f>
        <v>0</v>
      </c>
      <c r="L513" s="2373">
        <f>L514</f>
        <v>0</v>
      </c>
      <c r="M513" s="912"/>
      <c r="N513" s="912"/>
    </row>
    <row r="514" spans="1:14" ht="12.75" hidden="1">
      <c r="A514" s="366" t="s">
        <v>261</v>
      </c>
      <c r="B514" s="373">
        <v>968</v>
      </c>
      <c r="C514" s="373">
        <v>801</v>
      </c>
      <c r="D514" s="373" t="s">
        <v>258</v>
      </c>
      <c r="E514" s="373">
        <v>500</v>
      </c>
      <c r="F514" s="379"/>
      <c r="G514" s="379">
        <v>340</v>
      </c>
      <c r="H514" s="2373">
        <f>SUM(I514:L514)</f>
        <v>0</v>
      </c>
      <c r="I514" s="2374">
        <v>0</v>
      </c>
      <c r="J514" s="2373">
        <v>0</v>
      </c>
      <c r="K514" s="2373">
        <v>0</v>
      </c>
      <c r="L514" s="2373">
        <v>0</v>
      </c>
      <c r="M514" s="912"/>
      <c r="N514" s="912"/>
    </row>
    <row r="515" spans="1:14" ht="14.25" customHeight="1">
      <c r="A515" s="649" t="s">
        <v>1220</v>
      </c>
      <c r="B515" s="641">
        <v>968</v>
      </c>
      <c r="C515" s="641">
        <v>804</v>
      </c>
      <c r="D515" s="641"/>
      <c r="E515" s="641"/>
      <c r="F515" s="642"/>
      <c r="G515" s="642"/>
      <c r="H515" s="2420">
        <f>SUM(I515:L515)</f>
        <v>2201.73</v>
      </c>
      <c r="I515" s="2419">
        <f>I516+I522</f>
        <v>468.73</v>
      </c>
      <c r="J515" s="2419">
        <f>J516+J522</f>
        <v>544</v>
      </c>
      <c r="K515" s="2419">
        <f>K516+K522</f>
        <v>642</v>
      </c>
      <c r="L515" s="2419">
        <f>L516+L522</f>
        <v>547</v>
      </c>
      <c r="M515" s="912"/>
      <c r="N515" s="912"/>
    </row>
    <row r="516" spans="1:14" ht="24" customHeight="1">
      <c r="A516" s="385" t="s">
        <v>1394</v>
      </c>
      <c r="B516" s="137">
        <v>968</v>
      </c>
      <c r="C516" s="137">
        <v>804</v>
      </c>
      <c r="D516" s="137" t="str">
        <f>D518</f>
        <v>795 06 00</v>
      </c>
      <c r="E516" s="137"/>
      <c r="F516" s="380"/>
      <c r="G516" s="380"/>
      <c r="H516" s="726">
        <f>SUM(I516:L516)</f>
        <v>1969</v>
      </c>
      <c r="I516" s="853">
        <f>I517</f>
        <v>390</v>
      </c>
      <c r="J516" s="853">
        <f>J517</f>
        <v>467</v>
      </c>
      <c r="K516" s="853">
        <f>K517</f>
        <v>565</v>
      </c>
      <c r="L516" s="726">
        <f>L517</f>
        <v>547</v>
      </c>
      <c r="M516" s="912"/>
      <c r="N516" s="912"/>
    </row>
    <row r="517" spans="1:14" ht="12.75">
      <c r="A517" s="385" t="s">
        <v>1186</v>
      </c>
      <c r="B517" s="1168">
        <v>968</v>
      </c>
      <c r="C517" s="1168">
        <v>804</v>
      </c>
      <c r="D517" s="1168" t="str">
        <f>D518</f>
        <v>795 06 00</v>
      </c>
      <c r="E517" s="1168">
        <v>500</v>
      </c>
      <c r="F517" s="1162">
        <v>200</v>
      </c>
      <c r="G517" s="380"/>
      <c r="H517" s="726">
        <f>SUM(I517:L517)</f>
        <v>1969</v>
      </c>
      <c r="I517" s="853">
        <f>I518</f>
        <v>390</v>
      </c>
      <c r="J517" s="853">
        <f aca="true" t="shared" si="94" ref="J517:L519">J518</f>
        <v>467</v>
      </c>
      <c r="K517" s="853">
        <f t="shared" si="94"/>
        <v>565</v>
      </c>
      <c r="L517" s="726">
        <f t="shared" si="94"/>
        <v>547</v>
      </c>
      <c r="M517" s="912"/>
      <c r="N517" s="912"/>
    </row>
    <row r="518" spans="1:14" ht="12.75">
      <c r="A518" s="1161" t="s">
        <v>1063</v>
      </c>
      <c r="B518" s="1168">
        <v>968</v>
      </c>
      <c r="C518" s="1168">
        <v>804</v>
      </c>
      <c r="D518" s="1168" t="str">
        <f>D519</f>
        <v>795 06 00</v>
      </c>
      <c r="E518" s="1168">
        <v>500</v>
      </c>
      <c r="F518" s="1162">
        <v>244</v>
      </c>
      <c r="G518" s="1162"/>
      <c r="H518" s="1169">
        <f>SUM(I518:L518)</f>
        <v>1969</v>
      </c>
      <c r="I518" s="1169">
        <f>I519</f>
        <v>390</v>
      </c>
      <c r="J518" s="1169">
        <f t="shared" si="94"/>
        <v>467</v>
      </c>
      <c r="K518" s="1169">
        <f t="shared" si="94"/>
        <v>565</v>
      </c>
      <c r="L518" s="1169">
        <f t="shared" si="94"/>
        <v>547</v>
      </c>
      <c r="M518" s="912"/>
      <c r="N518" s="912"/>
    </row>
    <row r="519" spans="1:14" ht="12.75">
      <c r="A519" s="363" t="s">
        <v>350</v>
      </c>
      <c r="B519" s="127">
        <v>968</v>
      </c>
      <c r="C519" s="127">
        <v>804</v>
      </c>
      <c r="D519" s="127" t="str">
        <f>D520</f>
        <v>795 06 00</v>
      </c>
      <c r="E519" s="127">
        <v>500</v>
      </c>
      <c r="F519" s="377">
        <v>244</v>
      </c>
      <c r="G519" s="377">
        <v>200</v>
      </c>
      <c r="H519" s="1685">
        <f>H520+H521</f>
        <v>1969</v>
      </c>
      <c r="I519" s="1685">
        <f>I520</f>
        <v>390</v>
      </c>
      <c r="J519" s="1685">
        <f t="shared" si="94"/>
        <v>467</v>
      </c>
      <c r="K519" s="1685">
        <f t="shared" si="94"/>
        <v>565</v>
      </c>
      <c r="L519" s="1685">
        <f t="shared" si="94"/>
        <v>547</v>
      </c>
      <c r="M519" s="912"/>
      <c r="N519" s="912"/>
    </row>
    <row r="520" spans="1:14" ht="12.75">
      <c r="A520" s="366" t="s">
        <v>353</v>
      </c>
      <c r="B520" s="373">
        <v>968</v>
      </c>
      <c r="C520" s="373">
        <v>804</v>
      </c>
      <c r="D520" s="373" t="str">
        <f>D521</f>
        <v>795 06 00</v>
      </c>
      <c r="E520" s="373">
        <v>500</v>
      </c>
      <c r="F520" s="379">
        <v>244</v>
      </c>
      <c r="G520" s="379">
        <v>226</v>
      </c>
      <c r="H520" s="1683">
        <f aca="true" t="shared" si="95" ref="H520:H528">SUM(I520:L520)</f>
        <v>1969</v>
      </c>
      <c r="I520" s="1684">
        <v>390</v>
      </c>
      <c r="J520" s="1683">
        <v>467</v>
      </c>
      <c r="K520" s="1683">
        <v>565</v>
      </c>
      <c r="L520" s="1683">
        <v>547</v>
      </c>
      <c r="M520" s="912"/>
      <c r="N520" s="912"/>
    </row>
    <row r="521" spans="1:14" ht="12.75" hidden="1">
      <c r="A521" s="365" t="s">
        <v>259</v>
      </c>
      <c r="B521" s="372">
        <v>968</v>
      </c>
      <c r="C521" s="372">
        <v>804</v>
      </c>
      <c r="D521" s="372" t="s">
        <v>1132</v>
      </c>
      <c r="E521" s="372">
        <v>500</v>
      </c>
      <c r="F521" s="378">
        <v>244</v>
      </c>
      <c r="G521" s="378">
        <v>290</v>
      </c>
      <c r="H521" s="2373">
        <f t="shared" si="95"/>
        <v>0</v>
      </c>
      <c r="I521" s="2374">
        <v>0</v>
      </c>
      <c r="J521" s="2373">
        <v>0</v>
      </c>
      <c r="K521" s="2373">
        <v>0</v>
      </c>
      <c r="L521" s="2373">
        <v>0</v>
      </c>
      <c r="M521" s="912"/>
      <c r="N521" s="912"/>
    </row>
    <row r="522" spans="1:14" ht="24">
      <c r="A522" s="385" t="str">
        <f>Пцс!B55</f>
        <v>Ведомственная целевая программа по военно-патриотическому воспитанию граждан муниципального образования</v>
      </c>
      <c r="B522" s="137">
        <v>968</v>
      </c>
      <c r="C522" s="137">
        <v>804</v>
      </c>
      <c r="D522" s="137" t="str">
        <f>Пцс!C55</f>
        <v>795 08 00</v>
      </c>
      <c r="E522" s="137"/>
      <c r="F522" s="380"/>
      <c r="G522" s="380"/>
      <c r="H522" s="726">
        <f t="shared" si="95"/>
        <v>232.73000000000002</v>
      </c>
      <c r="I522" s="853">
        <f aca="true" t="shared" si="96" ref="I522:L524">I523</f>
        <v>78.73</v>
      </c>
      <c r="J522" s="853">
        <f t="shared" si="96"/>
        <v>77</v>
      </c>
      <c r="K522" s="853">
        <f t="shared" si="96"/>
        <v>77</v>
      </c>
      <c r="L522" s="726">
        <f t="shared" si="96"/>
        <v>0</v>
      </c>
      <c r="M522" s="912"/>
      <c r="N522" s="912"/>
    </row>
    <row r="523" spans="1:14" ht="12.75">
      <c r="A523" s="385" t="s">
        <v>1186</v>
      </c>
      <c r="B523" s="1168">
        <v>968</v>
      </c>
      <c r="C523" s="1168">
        <v>804</v>
      </c>
      <c r="D523" s="1168" t="s">
        <v>1288</v>
      </c>
      <c r="E523" s="1168">
        <v>500</v>
      </c>
      <c r="F523" s="1162">
        <v>200</v>
      </c>
      <c r="G523" s="380"/>
      <c r="H523" s="726">
        <f t="shared" si="95"/>
        <v>232.73000000000002</v>
      </c>
      <c r="I523" s="853">
        <f t="shared" si="96"/>
        <v>78.73</v>
      </c>
      <c r="J523" s="853">
        <f t="shared" si="96"/>
        <v>77</v>
      </c>
      <c r="K523" s="853">
        <f t="shared" si="96"/>
        <v>77</v>
      </c>
      <c r="L523" s="726">
        <f t="shared" si="96"/>
        <v>0</v>
      </c>
      <c r="M523" s="912"/>
      <c r="N523" s="912"/>
    </row>
    <row r="524" spans="1:14" ht="12.75">
      <c r="A524" s="1161" t="s">
        <v>1063</v>
      </c>
      <c r="B524" s="1168">
        <v>968</v>
      </c>
      <c r="C524" s="1168">
        <v>804</v>
      </c>
      <c r="D524" s="1168" t="s">
        <v>1288</v>
      </c>
      <c r="E524" s="1168">
        <v>500</v>
      </c>
      <c r="F524" s="1162">
        <v>244</v>
      </c>
      <c r="G524" s="1162"/>
      <c r="H524" s="1169">
        <f t="shared" si="95"/>
        <v>232.73000000000002</v>
      </c>
      <c r="I524" s="1169">
        <f>I525</f>
        <v>78.73</v>
      </c>
      <c r="J524" s="1169">
        <f t="shared" si="96"/>
        <v>77</v>
      </c>
      <c r="K524" s="1169">
        <f t="shared" si="96"/>
        <v>77</v>
      </c>
      <c r="L524" s="1169">
        <f t="shared" si="96"/>
        <v>0</v>
      </c>
      <c r="M524" s="912"/>
      <c r="N524" s="912"/>
    </row>
    <row r="525" spans="1:14" ht="12.75">
      <c r="A525" s="363" t="s">
        <v>350</v>
      </c>
      <c r="B525" s="127">
        <v>968</v>
      </c>
      <c r="C525" s="127">
        <v>804</v>
      </c>
      <c r="D525" s="127" t="s">
        <v>1288</v>
      </c>
      <c r="E525" s="127">
        <v>500</v>
      </c>
      <c r="F525" s="377">
        <v>244</v>
      </c>
      <c r="G525" s="377">
        <v>200</v>
      </c>
      <c r="H525" s="1685">
        <f t="shared" si="95"/>
        <v>232.73000000000002</v>
      </c>
      <c r="I525" s="1685">
        <f>I526</f>
        <v>78.73</v>
      </c>
      <c r="J525" s="1685">
        <f>J526</f>
        <v>77</v>
      </c>
      <c r="K525" s="1685">
        <f>K526</f>
        <v>77</v>
      </c>
      <c r="L525" s="1685">
        <f>L526</f>
        <v>0</v>
      </c>
      <c r="M525" s="912"/>
      <c r="N525" s="912"/>
    </row>
    <row r="526" spans="1:14" ht="13.5" thickBot="1">
      <c r="A526" s="366" t="s">
        <v>353</v>
      </c>
      <c r="B526" s="373">
        <v>968</v>
      </c>
      <c r="C526" s="373">
        <v>804</v>
      </c>
      <c r="D526" s="373" t="s">
        <v>1288</v>
      </c>
      <c r="E526" s="373">
        <v>500</v>
      </c>
      <c r="F526" s="379">
        <v>244</v>
      </c>
      <c r="G526" s="379">
        <v>226</v>
      </c>
      <c r="H526" s="1683">
        <f t="shared" si="95"/>
        <v>232.73000000000002</v>
      </c>
      <c r="I526" s="1684">
        <f>77+1.73</f>
        <v>78.73</v>
      </c>
      <c r="J526" s="1683">
        <v>77</v>
      </c>
      <c r="K526" s="1683">
        <v>77</v>
      </c>
      <c r="L526" s="1683">
        <v>0</v>
      </c>
      <c r="M526" s="912"/>
      <c r="N526" s="912"/>
    </row>
    <row r="527" spans="1:14" ht="15.75" thickBot="1">
      <c r="A527" s="644" t="s">
        <v>272</v>
      </c>
      <c r="B527" s="645">
        <v>968</v>
      </c>
      <c r="C527" s="645">
        <v>1000</v>
      </c>
      <c r="D527" s="645"/>
      <c r="E527" s="645"/>
      <c r="F527" s="646"/>
      <c r="G527" s="646"/>
      <c r="H527" s="2422">
        <f t="shared" si="95"/>
        <v>17252.9</v>
      </c>
      <c r="I527" s="2422">
        <f>I528+I534</f>
        <v>4345.606000000001</v>
      </c>
      <c r="J527" s="2422">
        <f>J528+J534</f>
        <v>4356.444</v>
      </c>
      <c r="K527" s="2422">
        <f>K528+K534</f>
        <v>4275.425</v>
      </c>
      <c r="L527" s="2423">
        <f>L528+L534</f>
        <v>4275.425</v>
      </c>
      <c r="M527" s="912"/>
      <c r="N527" s="912"/>
    </row>
    <row r="528" spans="1:14" ht="15">
      <c r="A528" s="386" t="s">
        <v>967</v>
      </c>
      <c r="B528" s="371">
        <v>968</v>
      </c>
      <c r="C528" s="371">
        <v>1003</v>
      </c>
      <c r="D528" s="371"/>
      <c r="E528" s="371"/>
      <c r="F528" s="376"/>
      <c r="G528" s="376"/>
      <c r="H528" s="2455">
        <f t="shared" si="95"/>
        <v>970.2</v>
      </c>
      <c r="I528" s="2455">
        <f aca="true" t="shared" si="97" ref="I528:L532">I529</f>
        <v>312.731</v>
      </c>
      <c r="J528" s="2455">
        <f t="shared" si="97"/>
        <v>172.36900000000003</v>
      </c>
      <c r="K528" s="2455">
        <f t="shared" si="97"/>
        <v>242.55</v>
      </c>
      <c r="L528" s="2456">
        <f t="shared" si="97"/>
        <v>242.55</v>
      </c>
      <c r="M528" s="912"/>
      <c r="N528" s="912"/>
    </row>
    <row r="529" spans="1:14" ht="29.25" customHeight="1">
      <c r="A529" s="385" t="s">
        <v>1084</v>
      </c>
      <c r="B529" s="137">
        <v>968</v>
      </c>
      <c r="C529" s="137">
        <v>1003</v>
      </c>
      <c r="D529" s="723" t="s">
        <v>969</v>
      </c>
      <c r="E529" s="723"/>
      <c r="F529" s="725"/>
      <c r="G529" s="725"/>
      <c r="H529" s="853">
        <f>H531</f>
        <v>970.2</v>
      </c>
      <c r="I529" s="853">
        <f>I530</f>
        <v>312.731</v>
      </c>
      <c r="J529" s="853">
        <f t="shared" si="97"/>
        <v>172.36900000000003</v>
      </c>
      <c r="K529" s="853">
        <f t="shared" si="97"/>
        <v>242.55</v>
      </c>
      <c r="L529" s="726">
        <f t="shared" si="97"/>
        <v>242.55</v>
      </c>
      <c r="M529" s="912"/>
      <c r="N529" s="912"/>
    </row>
    <row r="530" spans="1:14" ht="15" customHeight="1">
      <c r="A530" s="1161" t="s">
        <v>1187</v>
      </c>
      <c r="B530" s="1168">
        <v>968</v>
      </c>
      <c r="C530" s="1168">
        <v>1003</v>
      </c>
      <c r="D530" s="1168" t="s">
        <v>969</v>
      </c>
      <c r="E530" s="1168">
        <v>5</v>
      </c>
      <c r="F530" s="1162">
        <v>300</v>
      </c>
      <c r="G530" s="1950"/>
      <c r="H530" s="1951">
        <f>SUM(I530:L530)</f>
        <v>970.2</v>
      </c>
      <c r="I530" s="1951">
        <f>I531</f>
        <v>312.731</v>
      </c>
      <c r="J530" s="1951">
        <f>J531</f>
        <v>172.36900000000003</v>
      </c>
      <c r="K530" s="1951">
        <f>K531</f>
        <v>242.55</v>
      </c>
      <c r="L530" s="715">
        <f>L531</f>
        <v>242.55</v>
      </c>
      <c r="M530" s="912"/>
      <c r="N530" s="912"/>
    </row>
    <row r="531" spans="1:14" ht="17.25" customHeight="1">
      <c r="A531" s="1161" t="s">
        <v>1266</v>
      </c>
      <c r="B531" s="1168">
        <v>968</v>
      </c>
      <c r="C531" s="1168">
        <v>1003</v>
      </c>
      <c r="D531" s="1163" t="s">
        <v>969</v>
      </c>
      <c r="E531" s="1163">
        <v>5</v>
      </c>
      <c r="F531" s="1164">
        <v>312</v>
      </c>
      <c r="G531" s="1162"/>
      <c r="H531" s="1170">
        <f>SUM(I531:L531)</f>
        <v>970.2</v>
      </c>
      <c r="I531" s="1170">
        <f t="shared" si="97"/>
        <v>312.731</v>
      </c>
      <c r="J531" s="1170">
        <f t="shared" si="97"/>
        <v>172.36900000000003</v>
      </c>
      <c r="K531" s="1170">
        <f t="shared" si="97"/>
        <v>242.55</v>
      </c>
      <c r="L531" s="1169">
        <f t="shared" si="97"/>
        <v>242.55</v>
      </c>
      <c r="M531" s="912"/>
      <c r="N531" s="912"/>
    </row>
    <row r="532" spans="1:14" ht="12.75">
      <c r="A532" s="365" t="s">
        <v>356</v>
      </c>
      <c r="B532" s="372">
        <v>968</v>
      </c>
      <c r="C532" s="372">
        <v>1003</v>
      </c>
      <c r="D532" s="372" t="s">
        <v>969</v>
      </c>
      <c r="E532" s="372">
        <v>5</v>
      </c>
      <c r="F532" s="378">
        <v>312</v>
      </c>
      <c r="G532" s="378">
        <v>260</v>
      </c>
      <c r="H532" s="2424">
        <f>H533</f>
        <v>970.2</v>
      </c>
      <c r="I532" s="2424">
        <f t="shared" si="97"/>
        <v>312.731</v>
      </c>
      <c r="J532" s="2425">
        <f t="shared" si="97"/>
        <v>172.36900000000003</v>
      </c>
      <c r="K532" s="2425">
        <f t="shared" si="97"/>
        <v>242.55</v>
      </c>
      <c r="L532" s="2425">
        <f t="shared" si="97"/>
        <v>242.55</v>
      </c>
      <c r="M532" s="912"/>
      <c r="N532" s="912"/>
    </row>
    <row r="533" spans="1:14" ht="12.75">
      <c r="A533" s="366" t="s">
        <v>970</v>
      </c>
      <c r="B533" s="373">
        <v>968</v>
      </c>
      <c r="C533" s="373">
        <v>1003</v>
      </c>
      <c r="D533" s="373" t="s">
        <v>969</v>
      </c>
      <c r="E533" s="373">
        <v>5</v>
      </c>
      <c r="F533" s="379">
        <v>312</v>
      </c>
      <c r="G533" s="379">
        <v>263</v>
      </c>
      <c r="H533" s="1684">
        <f aca="true" t="shared" si="98" ref="H533:H538">SUM(I533:L533)</f>
        <v>970.2</v>
      </c>
      <c r="I533" s="1684">
        <f>242.55+70.181</f>
        <v>312.731</v>
      </c>
      <c r="J533" s="1683">
        <f>242.55-70.181</f>
        <v>172.36900000000003</v>
      </c>
      <c r="K533" s="1683">
        <v>242.55</v>
      </c>
      <c r="L533" s="1683">
        <v>242.55</v>
      </c>
      <c r="M533" s="912"/>
      <c r="N533" s="912"/>
    </row>
    <row r="534" spans="1:14" ht="16.5" customHeight="1">
      <c r="A534" s="386" t="s">
        <v>698</v>
      </c>
      <c r="B534" s="371">
        <v>968</v>
      </c>
      <c r="C534" s="371">
        <v>1004</v>
      </c>
      <c r="D534" s="371"/>
      <c r="E534" s="371"/>
      <c r="F534" s="376"/>
      <c r="G534" s="376"/>
      <c r="H534" s="2455">
        <f t="shared" si="98"/>
        <v>16282.7</v>
      </c>
      <c r="I534" s="2455">
        <f>I535+I556+I561</f>
        <v>4032.8750000000005</v>
      </c>
      <c r="J534" s="2455">
        <f>J535+J556+J561</f>
        <v>4184.075000000001</v>
      </c>
      <c r="K534" s="2455">
        <f>K535+K556+K561</f>
        <v>4032.8750000000005</v>
      </c>
      <c r="L534" s="2456">
        <f>L535+L556+L561</f>
        <v>4032.875</v>
      </c>
      <c r="M534" s="912"/>
      <c r="N534" s="912"/>
    </row>
    <row r="535" spans="1:14" ht="39.75" customHeight="1">
      <c r="A535" s="385" t="s">
        <v>1300</v>
      </c>
      <c r="B535" s="137">
        <v>968</v>
      </c>
      <c r="C535" s="137">
        <v>1004</v>
      </c>
      <c r="D535" s="723" t="s">
        <v>1301</v>
      </c>
      <c r="E535" s="723"/>
      <c r="F535" s="725"/>
      <c r="G535" s="725"/>
      <c r="H535" s="853">
        <f t="shared" si="98"/>
        <v>4515.100000000001</v>
      </c>
      <c r="I535" s="853">
        <f>I536+I542</f>
        <v>1090.9750000000001</v>
      </c>
      <c r="J535" s="853">
        <f>J536+J542</f>
        <v>1242.1750000000002</v>
      </c>
      <c r="K535" s="853">
        <f>K536+K542</f>
        <v>1090.9750000000001</v>
      </c>
      <c r="L535" s="726">
        <f>L536+L542</f>
        <v>1090.9750000000001</v>
      </c>
      <c r="M535" s="912"/>
      <c r="N535" s="912"/>
    </row>
    <row r="536" spans="1:14" ht="35.25" customHeight="1">
      <c r="A536" s="1949" t="s">
        <v>1188</v>
      </c>
      <c r="B536" s="1168">
        <v>968</v>
      </c>
      <c r="C536" s="1168">
        <v>1004</v>
      </c>
      <c r="D536" s="1168" t="s">
        <v>1302</v>
      </c>
      <c r="E536" s="1168">
        <v>598</v>
      </c>
      <c r="F536" s="1168">
        <v>100</v>
      </c>
      <c r="G536" s="725"/>
      <c r="H536" s="853">
        <f t="shared" si="98"/>
        <v>4209.1</v>
      </c>
      <c r="I536" s="853">
        <f>I537</f>
        <v>1052.275</v>
      </c>
      <c r="J536" s="853">
        <f>J537</f>
        <v>1052.275</v>
      </c>
      <c r="K536" s="853">
        <f>K537</f>
        <v>1052.275</v>
      </c>
      <c r="L536" s="726">
        <f>L537</f>
        <v>1052.275</v>
      </c>
      <c r="M536" s="912"/>
      <c r="N536" s="912"/>
    </row>
    <row r="537" spans="1:14" ht="15.75" customHeight="1">
      <c r="A537" s="1161" t="s">
        <v>1077</v>
      </c>
      <c r="B537" s="1168">
        <v>968</v>
      </c>
      <c r="C537" s="1168">
        <v>1004</v>
      </c>
      <c r="D537" s="1163" t="s">
        <v>1302</v>
      </c>
      <c r="E537" s="1163">
        <v>598</v>
      </c>
      <c r="F537" s="1163">
        <v>121</v>
      </c>
      <c r="G537" s="1162"/>
      <c r="H537" s="1170">
        <f t="shared" si="98"/>
        <v>4209.1</v>
      </c>
      <c r="I537" s="1170">
        <f aca="true" t="shared" si="99" ref="I537:L538">I538</f>
        <v>1052.275</v>
      </c>
      <c r="J537" s="1170">
        <f t="shared" si="99"/>
        <v>1052.275</v>
      </c>
      <c r="K537" s="1170">
        <f t="shared" si="99"/>
        <v>1052.275</v>
      </c>
      <c r="L537" s="1169">
        <f t="shared" si="99"/>
        <v>1052.275</v>
      </c>
      <c r="M537" s="912"/>
      <c r="N537" s="912"/>
    </row>
    <row r="538" spans="1:14" ht="16.5" customHeight="1">
      <c r="A538" s="363" t="s">
        <v>350</v>
      </c>
      <c r="B538" s="127">
        <v>968</v>
      </c>
      <c r="C538" s="127">
        <v>1004</v>
      </c>
      <c r="D538" s="127" t="s">
        <v>1301</v>
      </c>
      <c r="E538" s="127">
        <v>598</v>
      </c>
      <c r="F538" s="127">
        <v>121</v>
      </c>
      <c r="G538" s="377">
        <v>200</v>
      </c>
      <c r="H538" s="1686">
        <f t="shared" si="98"/>
        <v>4209.1</v>
      </c>
      <c r="I538" s="1686">
        <f t="shared" si="99"/>
        <v>1052.275</v>
      </c>
      <c r="J538" s="1686">
        <f t="shared" si="99"/>
        <v>1052.275</v>
      </c>
      <c r="K538" s="1686">
        <f t="shared" si="99"/>
        <v>1052.275</v>
      </c>
      <c r="L538" s="1685">
        <f t="shared" si="99"/>
        <v>1052.275</v>
      </c>
      <c r="M538" s="912"/>
      <c r="N538" s="912"/>
    </row>
    <row r="539" spans="1:14" ht="16.5" customHeight="1">
      <c r="A539" s="365" t="s">
        <v>347</v>
      </c>
      <c r="B539" s="372">
        <v>968</v>
      </c>
      <c r="C539" s="372">
        <v>1004</v>
      </c>
      <c r="D539" s="372" t="s">
        <v>1301</v>
      </c>
      <c r="E539" s="372">
        <v>598</v>
      </c>
      <c r="F539" s="372">
        <v>121</v>
      </c>
      <c r="G539" s="378">
        <v>210</v>
      </c>
      <c r="H539" s="2424">
        <f>SUM(H540:H541)</f>
        <v>4209.1</v>
      </c>
      <c r="I539" s="2424">
        <f>SUM(I540:I541)</f>
        <v>1052.275</v>
      </c>
      <c r="J539" s="2445">
        <f>SUM(J540:J541)</f>
        <v>1052.275</v>
      </c>
      <c r="K539" s="2446">
        <f>SUM(K540:K541)</f>
        <v>1052.275</v>
      </c>
      <c r="L539" s="2446">
        <f>SUM(L540:L541)</f>
        <v>1052.275</v>
      </c>
      <c r="M539" s="912"/>
      <c r="N539" s="912"/>
    </row>
    <row r="540" spans="1:14" ht="16.5" customHeight="1">
      <c r="A540" s="366" t="s">
        <v>114</v>
      </c>
      <c r="B540" s="373">
        <v>968</v>
      </c>
      <c r="C540" s="373">
        <v>1004</v>
      </c>
      <c r="D540" s="373" t="s">
        <v>1301</v>
      </c>
      <c r="E540" s="373">
        <v>598</v>
      </c>
      <c r="F540" s="373">
        <v>121</v>
      </c>
      <c r="G540" s="379">
        <v>211</v>
      </c>
      <c r="H540" s="1684">
        <f aca="true" t="shared" si="100" ref="H540:H548">SUM(I540:L540)</f>
        <v>3232.776</v>
      </c>
      <c r="I540" s="1684">
        <v>808.194</v>
      </c>
      <c r="J540" s="2339">
        <v>808.194</v>
      </c>
      <c r="K540" s="2447">
        <v>808.194</v>
      </c>
      <c r="L540" s="1683">
        <v>808.194</v>
      </c>
      <c r="M540" s="912"/>
      <c r="N540" s="912"/>
    </row>
    <row r="541" spans="1:14" ht="16.5" customHeight="1">
      <c r="A541" s="366" t="s">
        <v>349</v>
      </c>
      <c r="B541" s="373">
        <v>968</v>
      </c>
      <c r="C541" s="373">
        <v>1004</v>
      </c>
      <c r="D541" s="373" t="s">
        <v>1301</v>
      </c>
      <c r="E541" s="373">
        <v>598</v>
      </c>
      <c r="F541" s="373">
        <v>121</v>
      </c>
      <c r="G541" s="379">
        <v>213</v>
      </c>
      <c r="H541" s="1684">
        <f t="shared" si="100"/>
        <v>976.3240000000001</v>
      </c>
      <c r="I541" s="2448">
        <f>244.074+0.007</f>
        <v>244.08100000000002</v>
      </c>
      <c r="J541" s="2448">
        <f>244.074+0.007</f>
        <v>244.08100000000002</v>
      </c>
      <c r="K541" s="2449">
        <f>244.074+0.007</f>
        <v>244.08100000000002</v>
      </c>
      <c r="L541" s="2449">
        <f>244.074+0.007</f>
        <v>244.08100000000002</v>
      </c>
      <c r="M541" s="912"/>
      <c r="N541" s="912"/>
    </row>
    <row r="542" spans="1:14" ht="16.5" customHeight="1">
      <c r="A542" s="385" t="s">
        <v>1186</v>
      </c>
      <c r="B542" s="1701">
        <v>968</v>
      </c>
      <c r="C542" s="1701">
        <v>1004</v>
      </c>
      <c r="D542" s="1701" t="s">
        <v>1301</v>
      </c>
      <c r="E542" s="372"/>
      <c r="F542" s="1702">
        <v>200</v>
      </c>
      <c r="G542" s="378"/>
      <c r="H542" s="1170">
        <f t="shared" si="100"/>
        <v>305.99999999999994</v>
      </c>
      <c r="I542" s="1170">
        <f>I543+I549</f>
        <v>38.7</v>
      </c>
      <c r="J542" s="1170">
        <f>J543+J549</f>
        <v>189.89999999999998</v>
      </c>
      <c r="K542" s="1170">
        <f>K543+K549</f>
        <v>38.7</v>
      </c>
      <c r="L542" s="1170">
        <f>L543+L549</f>
        <v>38.7</v>
      </c>
      <c r="M542" s="912"/>
      <c r="N542" s="912"/>
    </row>
    <row r="543" spans="1:14" ht="26.25" customHeight="1">
      <c r="A543" s="1161" t="s">
        <v>1080</v>
      </c>
      <c r="B543" s="1168">
        <v>968</v>
      </c>
      <c r="C543" s="1168">
        <v>1004</v>
      </c>
      <c r="D543" s="1168" t="s">
        <v>1301</v>
      </c>
      <c r="E543" s="373"/>
      <c r="F543" s="1162">
        <v>242</v>
      </c>
      <c r="G543" s="379"/>
      <c r="H543" s="1170">
        <f t="shared" si="100"/>
        <v>78.731</v>
      </c>
      <c r="I543" s="1170">
        <f>I544+I547</f>
        <v>0</v>
      </c>
      <c r="J543" s="1170">
        <f>J544+J547</f>
        <v>78.731</v>
      </c>
      <c r="K543" s="1170">
        <f>K544+K547</f>
        <v>0</v>
      </c>
      <c r="L543" s="1170">
        <f>L544+L547</f>
        <v>0</v>
      </c>
      <c r="M543" s="912"/>
      <c r="N543" s="912"/>
    </row>
    <row r="544" spans="1:14" ht="16.5" customHeight="1">
      <c r="A544" s="363" t="s">
        <v>350</v>
      </c>
      <c r="B544" s="127">
        <v>968</v>
      </c>
      <c r="C544" s="127">
        <v>1004</v>
      </c>
      <c r="D544" s="127" t="s">
        <v>1301</v>
      </c>
      <c r="E544" s="127">
        <v>598</v>
      </c>
      <c r="F544" s="127">
        <v>242</v>
      </c>
      <c r="G544" s="377">
        <v>200</v>
      </c>
      <c r="H544" s="2450">
        <f t="shared" si="100"/>
        <v>56.731</v>
      </c>
      <c r="I544" s="2450">
        <f aca="true" t="shared" si="101" ref="I544:K545">I545</f>
        <v>0</v>
      </c>
      <c r="J544" s="2450">
        <f t="shared" si="101"/>
        <v>56.731</v>
      </c>
      <c r="K544" s="2450">
        <f t="shared" si="101"/>
        <v>0</v>
      </c>
      <c r="L544" s="2437">
        <f>L546</f>
        <v>0</v>
      </c>
      <c r="M544" s="912"/>
      <c r="N544" s="912"/>
    </row>
    <row r="545" spans="1:14" ht="16.5" customHeight="1">
      <c r="A545" s="365" t="s">
        <v>351</v>
      </c>
      <c r="B545" s="372">
        <v>968</v>
      </c>
      <c r="C545" s="372">
        <v>1004</v>
      </c>
      <c r="D545" s="372" t="s">
        <v>1301</v>
      </c>
      <c r="E545" s="372">
        <v>598</v>
      </c>
      <c r="F545" s="372">
        <v>242</v>
      </c>
      <c r="G545" s="378">
        <v>220</v>
      </c>
      <c r="H545" s="2424">
        <f t="shared" si="100"/>
        <v>56.731</v>
      </c>
      <c r="I545" s="2424">
        <f t="shared" si="101"/>
        <v>0</v>
      </c>
      <c r="J545" s="2424">
        <f t="shared" si="101"/>
        <v>56.731</v>
      </c>
      <c r="K545" s="2424">
        <f t="shared" si="101"/>
        <v>0</v>
      </c>
      <c r="L545" s="2424">
        <f>L546</f>
        <v>0</v>
      </c>
      <c r="M545" s="912"/>
      <c r="N545" s="912"/>
    </row>
    <row r="546" spans="1:14" ht="16.5" customHeight="1">
      <c r="A546" s="366" t="s">
        <v>353</v>
      </c>
      <c r="B546" s="373">
        <v>968</v>
      </c>
      <c r="C546" s="373">
        <v>1004</v>
      </c>
      <c r="D546" s="373" t="s">
        <v>1303</v>
      </c>
      <c r="E546" s="373">
        <v>598</v>
      </c>
      <c r="F546" s="373">
        <v>242</v>
      </c>
      <c r="G546" s="379">
        <v>226</v>
      </c>
      <c r="H546" s="1684">
        <f t="shared" si="100"/>
        <v>56.731</v>
      </c>
      <c r="I546" s="1684">
        <v>0</v>
      </c>
      <c r="J546" s="1684">
        <v>56.731</v>
      </c>
      <c r="K546" s="1683">
        <v>0</v>
      </c>
      <c r="L546" s="1683">
        <v>0</v>
      </c>
      <c r="M546" s="912"/>
      <c r="N546" s="912"/>
    </row>
    <row r="547" spans="1:14" ht="16.5" customHeight="1">
      <c r="A547" s="363" t="s">
        <v>354</v>
      </c>
      <c r="B547" s="127">
        <v>968</v>
      </c>
      <c r="C547" s="127">
        <v>1004</v>
      </c>
      <c r="D547" s="127" t="s">
        <v>1301</v>
      </c>
      <c r="E547" s="127">
        <v>598</v>
      </c>
      <c r="F547" s="127">
        <v>242</v>
      </c>
      <c r="G547" s="377">
        <v>300</v>
      </c>
      <c r="H547" s="1686">
        <f t="shared" si="100"/>
        <v>22</v>
      </c>
      <c r="I547" s="1686">
        <f>I548</f>
        <v>0</v>
      </c>
      <c r="J547" s="1686">
        <f>J548</f>
        <v>22</v>
      </c>
      <c r="K547" s="1686">
        <f>K548</f>
        <v>0</v>
      </c>
      <c r="L547" s="1686">
        <f>L548</f>
        <v>0</v>
      </c>
      <c r="M547" s="912"/>
      <c r="N547" s="912"/>
    </row>
    <row r="548" spans="1:14" ht="16.5" customHeight="1">
      <c r="A548" s="365" t="s">
        <v>260</v>
      </c>
      <c r="B548" s="372">
        <v>968</v>
      </c>
      <c r="C548" s="372">
        <v>1004</v>
      </c>
      <c r="D548" s="372" t="s">
        <v>1301</v>
      </c>
      <c r="E548" s="372">
        <v>598</v>
      </c>
      <c r="F548" s="372">
        <v>242</v>
      </c>
      <c r="G548" s="378">
        <v>310</v>
      </c>
      <c r="H548" s="2424">
        <f t="shared" si="100"/>
        <v>22</v>
      </c>
      <c r="I548" s="2424">
        <f>57.3-57.3</f>
        <v>0</v>
      </c>
      <c r="J548" s="1686">
        <v>22</v>
      </c>
      <c r="K548" s="1685">
        <v>0</v>
      </c>
      <c r="L548" s="1685">
        <v>0</v>
      </c>
      <c r="M548" s="912"/>
      <c r="N548" s="912"/>
    </row>
    <row r="549" spans="1:14" ht="16.5" customHeight="1">
      <c r="A549" s="1161" t="s">
        <v>1063</v>
      </c>
      <c r="B549" s="1168">
        <v>968</v>
      </c>
      <c r="C549" s="1168">
        <v>1004</v>
      </c>
      <c r="D549" s="1168" t="s">
        <v>1301</v>
      </c>
      <c r="E549" s="373"/>
      <c r="F549" s="1162">
        <v>244</v>
      </c>
      <c r="G549" s="379"/>
      <c r="H549" s="1170">
        <f aca="true" t="shared" si="102" ref="H549:H555">SUM(I549:L549)</f>
        <v>227.269</v>
      </c>
      <c r="I549" s="1170">
        <f>I550+I553</f>
        <v>38.7</v>
      </c>
      <c r="J549" s="1170">
        <f>J550+J553</f>
        <v>111.169</v>
      </c>
      <c r="K549" s="1170">
        <f>K550+K553</f>
        <v>38.7</v>
      </c>
      <c r="L549" s="1169">
        <f>L550+L553</f>
        <v>38.7</v>
      </c>
      <c r="M549" s="912"/>
      <c r="N549" s="912"/>
    </row>
    <row r="550" spans="1:14" ht="16.5" customHeight="1">
      <c r="A550" s="363" t="s">
        <v>350</v>
      </c>
      <c r="B550" s="127">
        <v>968</v>
      </c>
      <c r="C550" s="127">
        <v>1004</v>
      </c>
      <c r="D550" s="127" t="s">
        <v>1301</v>
      </c>
      <c r="E550" s="127">
        <v>598</v>
      </c>
      <c r="F550" s="127">
        <v>244</v>
      </c>
      <c r="G550" s="377">
        <v>200</v>
      </c>
      <c r="H550" s="2450">
        <f t="shared" si="102"/>
        <v>154.8</v>
      </c>
      <c r="I550" s="2450">
        <f aca="true" t="shared" si="103" ref="I550:L551">I551</f>
        <v>38.7</v>
      </c>
      <c r="J550" s="2450">
        <f t="shared" si="103"/>
        <v>38.7</v>
      </c>
      <c r="K550" s="2450">
        <f t="shared" si="103"/>
        <v>38.7</v>
      </c>
      <c r="L550" s="2437">
        <f t="shared" si="103"/>
        <v>38.7</v>
      </c>
      <c r="M550" s="912"/>
      <c r="N550" s="912"/>
    </row>
    <row r="551" spans="1:14" ht="16.5" customHeight="1">
      <c r="A551" s="365" t="s">
        <v>351</v>
      </c>
      <c r="B551" s="372">
        <v>968</v>
      </c>
      <c r="C551" s="372">
        <v>1004</v>
      </c>
      <c r="D551" s="372" t="s">
        <v>1301</v>
      </c>
      <c r="E551" s="372">
        <v>598</v>
      </c>
      <c r="F551" s="372">
        <v>244</v>
      </c>
      <c r="G551" s="378">
        <v>220</v>
      </c>
      <c r="H551" s="2424">
        <f t="shared" si="102"/>
        <v>154.8</v>
      </c>
      <c r="I551" s="2424">
        <f t="shared" si="103"/>
        <v>38.7</v>
      </c>
      <c r="J551" s="2424">
        <f t="shared" si="103"/>
        <v>38.7</v>
      </c>
      <c r="K551" s="2425">
        <f t="shared" si="103"/>
        <v>38.7</v>
      </c>
      <c r="L551" s="2425">
        <f t="shared" si="103"/>
        <v>38.7</v>
      </c>
      <c r="M551" s="912"/>
      <c r="N551" s="912"/>
    </row>
    <row r="552" spans="1:14" ht="16.5" customHeight="1">
      <c r="A552" s="366" t="s">
        <v>120</v>
      </c>
      <c r="B552" s="373">
        <v>968</v>
      </c>
      <c r="C552" s="373">
        <v>1004</v>
      </c>
      <c r="D552" s="373" t="s">
        <v>1303</v>
      </c>
      <c r="E552" s="373">
        <v>598</v>
      </c>
      <c r="F552" s="373">
        <v>244</v>
      </c>
      <c r="G552" s="379">
        <v>222</v>
      </c>
      <c r="H552" s="1684">
        <f t="shared" si="102"/>
        <v>154.8</v>
      </c>
      <c r="I552" s="1684">
        <v>38.7</v>
      </c>
      <c r="J552" s="1684">
        <v>38.7</v>
      </c>
      <c r="K552" s="1683">
        <v>38.7</v>
      </c>
      <c r="L552" s="1683">
        <v>38.7</v>
      </c>
      <c r="M552" s="912"/>
      <c r="N552" s="912"/>
    </row>
    <row r="553" spans="1:14" ht="16.5" customHeight="1">
      <c r="A553" s="363" t="s">
        <v>354</v>
      </c>
      <c r="B553" s="127">
        <v>968</v>
      </c>
      <c r="C553" s="127">
        <v>1004</v>
      </c>
      <c r="D553" s="127" t="s">
        <v>1301</v>
      </c>
      <c r="E553" s="127">
        <v>598</v>
      </c>
      <c r="F553" s="127">
        <v>244</v>
      </c>
      <c r="G553" s="377">
        <v>300</v>
      </c>
      <c r="H553" s="1686">
        <f t="shared" si="102"/>
        <v>72.469</v>
      </c>
      <c r="I553" s="1686">
        <f>SUM(I554:I555)</f>
        <v>0</v>
      </c>
      <c r="J553" s="1686">
        <f>SUM(J554:J555)</f>
        <v>72.469</v>
      </c>
      <c r="K553" s="1686">
        <f>SUM(K554:K555)</f>
        <v>0</v>
      </c>
      <c r="L553" s="1685">
        <f>SUM(L554:L555)</f>
        <v>0</v>
      </c>
      <c r="M553" s="912"/>
      <c r="N553" s="912"/>
    </row>
    <row r="554" spans="1:14" ht="16.5" customHeight="1" hidden="1">
      <c r="A554" s="365" t="s">
        <v>260</v>
      </c>
      <c r="B554" s="372">
        <v>968</v>
      </c>
      <c r="C554" s="372">
        <v>1004</v>
      </c>
      <c r="D554" s="372" t="s">
        <v>1301</v>
      </c>
      <c r="E554" s="372">
        <v>598</v>
      </c>
      <c r="F554" s="372">
        <v>244</v>
      </c>
      <c r="G554" s="378">
        <v>310</v>
      </c>
      <c r="H554" s="2424">
        <f t="shared" si="102"/>
        <v>0</v>
      </c>
      <c r="I554" s="2424">
        <f>57.3-57.3</f>
        <v>0</v>
      </c>
      <c r="J554" s="1686">
        <f>75.6-75.6</f>
        <v>0</v>
      </c>
      <c r="K554" s="1685">
        <v>0</v>
      </c>
      <c r="L554" s="1685">
        <v>0</v>
      </c>
      <c r="M554" s="912"/>
      <c r="N554" s="912"/>
    </row>
    <row r="555" spans="1:14" ht="16.5" customHeight="1">
      <c r="A555" s="365" t="s">
        <v>261</v>
      </c>
      <c r="B555" s="372">
        <v>968</v>
      </c>
      <c r="C555" s="372">
        <v>1004</v>
      </c>
      <c r="D555" s="372" t="s">
        <v>1301</v>
      </c>
      <c r="E555" s="372">
        <v>598</v>
      </c>
      <c r="F555" s="372">
        <v>244</v>
      </c>
      <c r="G555" s="378">
        <v>340</v>
      </c>
      <c r="H555" s="2424">
        <f t="shared" si="102"/>
        <v>72.469</v>
      </c>
      <c r="I555" s="2424">
        <f>57.3-57.3</f>
        <v>0</v>
      </c>
      <c r="J555" s="2424">
        <f>75.6-3.131</f>
        <v>72.469</v>
      </c>
      <c r="K555" s="2425">
        <v>0</v>
      </c>
      <c r="L555" s="2425">
        <v>0</v>
      </c>
      <c r="M555" s="912"/>
      <c r="N555" s="912"/>
    </row>
    <row r="556" spans="1:14" ht="33.75" customHeight="1">
      <c r="A556" s="385" t="s">
        <v>1304</v>
      </c>
      <c r="B556" s="137">
        <v>968</v>
      </c>
      <c r="C556" s="137">
        <v>1004</v>
      </c>
      <c r="D556" s="137" t="s">
        <v>1305</v>
      </c>
      <c r="E556" s="137"/>
      <c r="F556" s="380"/>
      <c r="G556" s="380"/>
      <c r="H556" s="853">
        <f>H558</f>
        <v>9259.8</v>
      </c>
      <c r="I556" s="2457">
        <f aca="true" t="shared" si="104" ref="I556:L559">I557</f>
        <v>2315</v>
      </c>
      <c r="J556" s="2458">
        <f t="shared" si="104"/>
        <v>2314.9</v>
      </c>
      <c r="K556" s="2458">
        <f t="shared" si="104"/>
        <v>2315</v>
      </c>
      <c r="L556" s="2459">
        <f t="shared" si="104"/>
        <v>2314.9</v>
      </c>
      <c r="M556" s="912"/>
      <c r="N556" s="912"/>
    </row>
    <row r="557" spans="1:14" ht="16.5" customHeight="1">
      <c r="A557" s="1161" t="s">
        <v>1187</v>
      </c>
      <c r="B557" s="1168">
        <v>968</v>
      </c>
      <c r="C557" s="1168">
        <v>1004</v>
      </c>
      <c r="D557" s="1168" t="s">
        <v>1305</v>
      </c>
      <c r="E557" s="1168">
        <v>598</v>
      </c>
      <c r="F557" s="1168">
        <v>300</v>
      </c>
      <c r="G557" s="380"/>
      <c r="H557" s="853">
        <f>SUM(I557:L557)</f>
        <v>9259.8</v>
      </c>
      <c r="I557" s="2457">
        <f t="shared" si="104"/>
        <v>2315</v>
      </c>
      <c r="J557" s="2458">
        <f t="shared" si="104"/>
        <v>2314.9</v>
      </c>
      <c r="K557" s="2458">
        <f t="shared" si="104"/>
        <v>2315</v>
      </c>
      <c r="L557" s="2459">
        <f t="shared" si="104"/>
        <v>2314.9</v>
      </c>
      <c r="M557" s="912"/>
      <c r="N557" s="912"/>
    </row>
    <row r="558" spans="1:14" ht="24" customHeight="1">
      <c r="A558" s="1161" t="s">
        <v>1149</v>
      </c>
      <c r="B558" s="1168">
        <v>968</v>
      </c>
      <c r="C558" s="1168">
        <v>1004</v>
      </c>
      <c r="D558" s="1168" t="s">
        <v>1305</v>
      </c>
      <c r="E558" s="1168">
        <v>598</v>
      </c>
      <c r="F558" s="1168">
        <v>313</v>
      </c>
      <c r="G558" s="1162"/>
      <c r="H558" s="1170">
        <f>H559</f>
        <v>9259.8</v>
      </c>
      <c r="I558" s="2460">
        <f t="shared" si="104"/>
        <v>2315</v>
      </c>
      <c r="J558" s="1967">
        <f t="shared" si="104"/>
        <v>2314.9</v>
      </c>
      <c r="K558" s="1967">
        <f t="shared" si="104"/>
        <v>2315</v>
      </c>
      <c r="L558" s="2090">
        <f t="shared" si="104"/>
        <v>2314.9</v>
      </c>
      <c r="M558" s="912"/>
      <c r="N558" s="912"/>
    </row>
    <row r="559" spans="1:14" ht="12.75">
      <c r="A559" s="365" t="s">
        <v>356</v>
      </c>
      <c r="B559" s="372">
        <v>968</v>
      </c>
      <c r="C559" s="372">
        <v>1004</v>
      </c>
      <c r="D559" s="372" t="s">
        <v>1305</v>
      </c>
      <c r="E559" s="372">
        <v>598</v>
      </c>
      <c r="F559" s="372">
        <v>313</v>
      </c>
      <c r="G559" s="378">
        <v>260</v>
      </c>
      <c r="H559" s="2424">
        <f>H560</f>
        <v>9259.8</v>
      </c>
      <c r="I559" s="2461">
        <f t="shared" si="104"/>
        <v>2315</v>
      </c>
      <c r="J559" s="2462">
        <f t="shared" si="104"/>
        <v>2314.9</v>
      </c>
      <c r="K559" s="2462">
        <f t="shared" si="104"/>
        <v>2315</v>
      </c>
      <c r="L559" s="2463">
        <f t="shared" si="104"/>
        <v>2314.9</v>
      </c>
      <c r="M559" s="912"/>
      <c r="N559" s="912"/>
    </row>
    <row r="560" spans="1:14" ht="12.75">
      <c r="A560" s="366" t="s">
        <v>357</v>
      </c>
      <c r="B560" s="373">
        <v>968</v>
      </c>
      <c r="C560" s="373">
        <v>1004</v>
      </c>
      <c r="D560" s="373" t="s">
        <v>1305</v>
      </c>
      <c r="E560" s="373">
        <v>598</v>
      </c>
      <c r="F560" s="373">
        <v>313</v>
      </c>
      <c r="G560" s="379">
        <v>262</v>
      </c>
      <c r="H560" s="1684">
        <f>SUM(I560:L560)</f>
        <v>9259.8</v>
      </c>
      <c r="I560" s="2464">
        <v>2315</v>
      </c>
      <c r="J560" s="2339">
        <v>2314.9</v>
      </c>
      <c r="K560" s="2339">
        <v>2315</v>
      </c>
      <c r="L560" s="2413">
        <v>2314.9</v>
      </c>
      <c r="M560" s="912"/>
      <c r="N560" s="912"/>
    </row>
    <row r="561" spans="1:14" ht="33.75" customHeight="1">
      <c r="A561" s="385" t="s">
        <v>1306</v>
      </c>
      <c r="B561" s="137">
        <v>968</v>
      </c>
      <c r="C561" s="137">
        <v>1004</v>
      </c>
      <c r="D561" s="137" t="s">
        <v>1307</v>
      </c>
      <c r="E561" s="137"/>
      <c r="F561" s="137"/>
      <c r="G561" s="380"/>
      <c r="H561" s="853">
        <f>H563</f>
        <v>2507.8</v>
      </c>
      <c r="I561" s="2457">
        <f aca="true" t="shared" si="105" ref="I561:L562">I562</f>
        <v>626.9</v>
      </c>
      <c r="J561" s="2458">
        <f t="shared" si="105"/>
        <v>627</v>
      </c>
      <c r="K561" s="2458">
        <f t="shared" si="105"/>
        <v>626.9</v>
      </c>
      <c r="L561" s="2459">
        <f t="shared" si="105"/>
        <v>627</v>
      </c>
      <c r="M561" s="912"/>
      <c r="N561" s="912"/>
    </row>
    <row r="562" spans="1:14" ht="15.75" customHeight="1">
      <c r="A562" s="1161" t="s">
        <v>1187</v>
      </c>
      <c r="B562" s="1168">
        <v>968</v>
      </c>
      <c r="C562" s="1168">
        <v>1004</v>
      </c>
      <c r="D562" s="1168" t="s">
        <v>1307</v>
      </c>
      <c r="E562" s="1168">
        <v>598</v>
      </c>
      <c r="F562" s="1168">
        <v>300</v>
      </c>
      <c r="G562" s="380"/>
      <c r="H562" s="853">
        <f>SUM(I562:L562)</f>
        <v>2507.8</v>
      </c>
      <c r="I562" s="2457">
        <f t="shared" si="105"/>
        <v>626.9</v>
      </c>
      <c r="J562" s="2458">
        <f t="shared" si="105"/>
        <v>627</v>
      </c>
      <c r="K562" s="2458">
        <f t="shared" si="105"/>
        <v>626.9</v>
      </c>
      <c r="L562" s="2459">
        <f t="shared" si="105"/>
        <v>627</v>
      </c>
      <c r="M562" s="912"/>
      <c r="N562" s="912"/>
    </row>
    <row r="563" spans="1:14" ht="24.75" customHeight="1">
      <c r="A563" s="1161" t="s">
        <v>1381</v>
      </c>
      <c r="B563" s="1168">
        <v>968</v>
      </c>
      <c r="C563" s="1168">
        <v>1004</v>
      </c>
      <c r="D563" s="1168" t="s">
        <v>1307</v>
      </c>
      <c r="E563" s="1168">
        <v>598</v>
      </c>
      <c r="F563" s="1168">
        <v>323</v>
      </c>
      <c r="G563" s="1162"/>
      <c r="H563" s="1170">
        <f>H564</f>
        <v>2507.8</v>
      </c>
      <c r="I563" s="2460">
        <f aca="true" t="shared" si="106" ref="I563:L564">I564</f>
        <v>626.9</v>
      </c>
      <c r="J563" s="1967">
        <f t="shared" si="106"/>
        <v>627</v>
      </c>
      <c r="K563" s="1967">
        <f t="shared" si="106"/>
        <v>626.9</v>
      </c>
      <c r="L563" s="2090">
        <f t="shared" si="106"/>
        <v>627</v>
      </c>
      <c r="M563" s="912"/>
      <c r="N563" s="912"/>
    </row>
    <row r="564" spans="1:14" ht="12.75">
      <c r="A564" s="363" t="s">
        <v>350</v>
      </c>
      <c r="B564" s="127">
        <v>968</v>
      </c>
      <c r="C564" s="127">
        <v>1004</v>
      </c>
      <c r="D564" s="127" t="s">
        <v>1307</v>
      </c>
      <c r="E564" s="127">
        <v>598</v>
      </c>
      <c r="F564" s="127">
        <v>323</v>
      </c>
      <c r="G564" s="377">
        <v>200</v>
      </c>
      <c r="H564" s="1686">
        <f>H565</f>
        <v>2507.8</v>
      </c>
      <c r="I564" s="1686">
        <f t="shared" si="106"/>
        <v>626.9</v>
      </c>
      <c r="J564" s="1685">
        <f t="shared" si="106"/>
        <v>627</v>
      </c>
      <c r="K564" s="1685">
        <f t="shared" si="106"/>
        <v>626.9</v>
      </c>
      <c r="L564" s="1685">
        <f t="shared" si="106"/>
        <v>627</v>
      </c>
      <c r="M564" s="912"/>
      <c r="N564" s="912"/>
    </row>
    <row r="565" spans="1:14" ht="12.75">
      <c r="A565" s="365" t="s">
        <v>351</v>
      </c>
      <c r="B565" s="372">
        <v>968</v>
      </c>
      <c r="C565" s="372">
        <v>1004</v>
      </c>
      <c r="D565" s="372" t="s">
        <v>1307</v>
      </c>
      <c r="E565" s="372">
        <v>598</v>
      </c>
      <c r="F565" s="372">
        <v>323</v>
      </c>
      <c r="G565" s="378">
        <v>220</v>
      </c>
      <c r="H565" s="2424">
        <f>H566</f>
        <v>2507.8</v>
      </c>
      <c r="I565" s="2424">
        <f>I566</f>
        <v>626.9</v>
      </c>
      <c r="J565" s="2425">
        <f>J566</f>
        <v>627</v>
      </c>
      <c r="K565" s="2425">
        <f>K566</f>
        <v>626.9</v>
      </c>
      <c r="L565" s="2425">
        <f>L566</f>
        <v>627</v>
      </c>
      <c r="M565" s="912"/>
      <c r="N565" s="912"/>
    </row>
    <row r="566" spans="1:14" ht="15" customHeight="1" thickBot="1">
      <c r="A566" s="636" t="s">
        <v>353</v>
      </c>
      <c r="B566" s="637">
        <v>968</v>
      </c>
      <c r="C566" s="637">
        <v>1004</v>
      </c>
      <c r="D566" s="637" t="s">
        <v>1307</v>
      </c>
      <c r="E566" s="637">
        <v>598</v>
      </c>
      <c r="F566" s="637">
        <v>323</v>
      </c>
      <c r="G566" s="638">
        <v>226</v>
      </c>
      <c r="H566" s="2356">
        <f>SUM(I566:L566)</f>
        <v>2507.8</v>
      </c>
      <c r="I566" s="2356">
        <v>626.9</v>
      </c>
      <c r="J566" s="2355">
        <v>627</v>
      </c>
      <c r="K566" s="2355">
        <v>626.9</v>
      </c>
      <c r="L566" s="2355">
        <v>627</v>
      </c>
      <c r="M566" s="912"/>
      <c r="N566" s="912"/>
    </row>
    <row r="567" spans="1:14" ht="26.25" customHeight="1" hidden="1" thickBot="1">
      <c r="A567" s="659" t="s">
        <v>857</v>
      </c>
      <c r="B567" s="660">
        <v>917</v>
      </c>
      <c r="C567" s="661"/>
      <c r="D567" s="661"/>
      <c r="E567" s="661"/>
      <c r="F567" s="662"/>
      <c r="G567" s="662"/>
      <c r="H567" s="2407">
        <f aca="true" t="shared" si="107" ref="H567:L569">H568</f>
        <v>0</v>
      </c>
      <c r="I567" s="2407">
        <f t="shared" si="107"/>
        <v>0</v>
      </c>
      <c r="J567" s="2408">
        <f t="shared" si="107"/>
        <v>0</v>
      </c>
      <c r="K567" s="2408">
        <f t="shared" si="107"/>
        <v>0</v>
      </c>
      <c r="L567" s="2408">
        <f t="shared" si="107"/>
        <v>0</v>
      </c>
      <c r="M567" s="912"/>
      <c r="N567" s="912"/>
    </row>
    <row r="568" spans="1:14" ht="18" customHeight="1" hidden="1" thickBot="1">
      <c r="A568" s="816" t="s">
        <v>111</v>
      </c>
      <c r="B568" s="817">
        <v>968</v>
      </c>
      <c r="C568" s="817">
        <v>100</v>
      </c>
      <c r="D568" s="818"/>
      <c r="E568" s="818"/>
      <c r="F568" s="819"/>
      <c r="G568" s="819"/>
      <c r="H568" s="2409">
        <f t="shared" si="107"/>
        <v>0</v>
      </c>
      <c r="I568" s="2409">
        <f t="shared" si="107"/>
        <v>0</v>
      </c>
      <c r="J568" s="2410">
        <f t="shared" si="107"/>
        <v>0</v>
      </c>
      <c r="K568" s="2410">
        <f t="shared" si="107"/>
        <v>0</v>
      </c>
      <c r="L568" s="2410">
        <f t="shared" si="107"/>
        <v>0</v>
      </c>
      <c r="M568" s="912"/>
      <c r="N568" s="912"/>
    </row>
    <row r="569" spans="1:14" ht="15.75" customHeight="1" hidden="1">
      <c r="A569" s="670" t="s">
        <v>23</v>
      </c>
      <c r="B569" s="671">
        <v>917</v>
      </c>
      <c r="C569" s="671">
        <v>107</v>
      </c>
      <c r="D569" s="671"/>
      <c r="E569" s="671"/>
      <c r="F569" s="753"/>
      <c r="G569" s="753"/>
      <c r="H569" s="2411">
        <f t="shared" si="107"/>
        <v>0</v>
      </c>
      <c r="I569" s="2411">
        <f t="shared" si="107"/>
        <v>0</v>
      </c>
      <c r="J569" s="2412">
        <f t="shared" si="107"/>
        <v>0</v>
      </c>
      <c r="K569" s="2412">
        <f t="shared" si="107"/>
        <v>0</v>
      </c>
      <c r="L569" s="2412">
        <f t="shared" si="107"/>
        <v>0</v>
      </c>
      <c r="M569" s="912"/>
      <c r="N569" s="912"/>
    </row>
    <row r="570" spans="1:14" ht="17.25" customHeight="1" hidden="1">
      <c r="A570" s="385" t="s">
        <v>149</v>
      </c>
      <c r="B570" s="137">
        <v>917</v>
      </c>
      <c r="C570" s="137">
        <v>107</v>
      </c>
      <c r="D570" s="137" t="s">
        <v>150</v>
      </c>
      <c r="E570" s="137"/>
      <c r="F570" s="380"/>
      <c r="G570" s="380"/>
      <c r="H570" s="2367">
        <f>H573</f>
        <v>0</v>
      </c>
      <c r="I570" s="2367">
        <f>I573</f>
        <v>0</v>
      </c>
      <c r="J570" s="2366">
        <f>J573</f>
        <v>0</v>
      </c>
      <c r="K570" s="2366">
        <f>K573</f>
        <v>0</v>
      </c>
      <c r="L570" s="2366">
        <f>L573</f>
        <v>0</v>
      </c>
      <c r="M570" s="912"/>
      <c r="N570" s="912"/>
    </row>
    <row r="571" spans="1:14" ht="17.25" customHeight="1" hidden="1">
      <c r="A571" s="385" t="s">
        <v>426</v>
      </c>
      <c r="B571" s="127">
        <v>917</v>
      </c>
      <c r="C571" s="127">
        <v>107</v>
      </c>
      <c r="D571" s="127" t="s">
        <v>150</v>
      </c>
      <c r="E571" s="127">
        <v>500</v>
      </c>
      <c r="F571" s="377"/>
      <c r="G571" s="377"/>
      <c r="H571" s="2376">
        <f aca="true" t="shared" si="108" ref="H571:L572">H572</f>
        <v>0</v>
      </c>
      <c r="I571" s="2376">
        <f t="shared" si="108"/>
        <v>0</v>
      </c>
      <c r="J571" s="2375">
        <f t="shared" si="108"/>
        <v>0</v>
      </c>
      <c r="K571" s="2375">
        <f t="shared" si="108"/>
        <v>0</v>
      </c>
      <c r="L571" s="2375">
        <f t="shared" si="108"/>
        <v>0</v>
      </c>
      <c r="M571" s="912"/>
      <c r="N571" s="912"/>
    </row>
    <row r="572" spans="1:14" ht="13.5" hidden="1" thickBot="1">
      <c r="A572" s="363" t="s">
        <v>350</v>
      </c>
      <c r="B572" s="127">
        <v>917</v>
      </c>
      <c r="C572" s="127">
        <v>107</v>
      </c>
      <c r="D572" s="127" t="s">
        <v>150</v>
      </c>
      <c r="E572" s="127">
        <v>500</v>
      </c>
      <c r="F572" s="377"/>
      <c r="G572" s="377">
        <v>200</v>
      </c>
      <c r="H572" s="2376">
        <f t="shared" si="108"/>
        <v>0</v>
      </c>
      <c r="I572" s="2376">
        <f t="shared" si="108"/>
        <v>0</v>
      </c>
      <c r="J572" s="2375">
        <f t="shared" si="108"/>
        <v>0</v>
      </c>
      <c r="K572" s="2375">
        <f t="shared" si="108"/>
        <v>0</v>
      </c>
      <c r="L572" s="2375">
        <f t="shared" si="108"/>
        <v>0</v>
      </c>
      <c r="M572" s="912"/>
      <c r="N572" s="912"/>
    </row>
    <row r="573" spans="1:14" ht="13.5" hidden="1" thickBot="1">
      <c r="A573" s="754" t="s">
        <v>259</v>
      </c>
      <c r="B573" s="755">
        <v>917</v>
      </c>
      <c r="C573" s="755">
        <v>107</v>
      </c>
      <c r="D573" s="755" t="s">
        <v>150</v>
      </c>
      <c r="E573" s="755">
        <v>500</v>
      </c>
      <c r="F573" s="756"/>
      <c r="G573" s="756">
        <v>290</v>
      </c>
      <c r="H573" s="2396">
        <f aca="true" t="shared" si="109" ref="H573:H579">SUM(I573:L573)</f>
        <v>0</v>
      </c>
      <c r="I573" s="2396">
        <v>0</v>
      </c>
      <c r="J573" s="2395">
        <v>0</v>
      </c>
      <c r="K573" s="2395">
        <v>0</v>
      </c>
      <c r="L573" s="2395">
        <v>0</v>
      </c>
      <c r="M573" s="912"/>
      <c r="N573" s="912"/>
    </row>
    <row r="574" spans="1:14" ht="15.75" thickBot="1">
      <c r="A574" s="644" t="s">
        <v>891</v>
      </c>
      <c r="B574" s="645">
        <v>968</v>
      </c>
      <c r="C574" s="645">
        <v>1100</v>
      </c>
      <c r="D574" s="645"/>
      <c r="E574" s="645"/>
      <c r="F574" s="646"/>
      <c r="G574" s="646"/>
      <c r="H574" s="2422">
        <f t="shared" si="109"/>
        <v>3865.685</v>
      </c>
      <c r="I574" s="2422">
        <f aca="true" t="shared" si="110" ref="I574:L576">I575</f>
        <v>1040.6850000000002</v>
      </c>
      <c r="J574" s="2422">
        <f t="shared" si="110"/>
        <v>1625.3</v>
      </c>
      <c r="K574" s="2422">
        <f t="shared" si="110"/>
        <v>380.1</v>
      </c>
      <c r="L574" s="2423">
        <f t="shared" si="110"/>
        <v>819.6</v>
      </c>
      <c r="M574" s="912"/>
      <c r="N574" s="912"/>
    </row>
    <row r="575" spans="1:14" ht="15">
      <c r="A575" s="640" t="s">
        <v>892</v>
      </c>
      <c r="B575" s="641">
        <v>968</v>
      </c>
      <c r="C575" s="641">
        <v>1102</v>
      </c>
      <c r="D575" s="641"/>
      <c r="E575" s="641"/>
      <c r="F575" s="642"/>
      <c r="G575" s="642"/>
      <c r="H575" s="2419">
        <f t="shared" si="109"/>
        <v>3865.685</v>
      </c>
      <c r="I575" s="2419">
        <f>I576</f>
        <v>1040.6850000000002</v>
      </c>
      <c r="J575" s="2420">
        <f t="shared" si="110"/>
        <v>1625.3</v>
      </c>
      <c r="K575" s="2420">
        <f t="shared" si="110"/>
        <v>380.1</v>
      </c>
      <c r="L575" s="2420">
        <f t="shared" si="110"/>
        <v>819.6</v>
      </c>
      <c r="M575" s="912"/>
      <c r="N575" s="912"/>
    </row>
    <row r="576" spans="1:14" ht="48.75" customHeight="1">
      <c r="A576" s="385" t="s">
        <v>1397</v>
      </c>
      <c r="B576" s="137">
        <v>968</v>
      </c>
      <c r="C576" s="137">
        <v>1102</v>
      </c>
      <c r="D576" s="137" t="s">
        <v>1290</v>
      </c>
      <c r="E576" s="137"/>
      <c r="F576" s="380"/>
      <c r="G576" s="380"/>
      <c r="H576" s="853">
        <f t="shared" si="109"/>
        <v>3865.685</v>
      </c>
      <c r="I576" s="853">
        <f>I577</f>
        <v>1040.6850000000002</v>
      </c>
      <c r="J576" s="853">
        <f t="shared" si="110"/>
        <v>1625.3</v>
      </c>
      <c r="K576" s="853">
        <f t="shared" si="110"/>
        <v>380.1</v>
      </c>
      <c r="L576" s="726">
        <f t="shared" si="110"/>
        <v>819.6</v>
      </c>
      <c r="M576" s="912"/>
      <c r="N576" s="912"/>
    </row>
    <row r="577" spans="1:14" ht="12.75">
      <c r="A577" s="385" t="s">
        <v>1186</v>
      </c>
      <c r="B577" s="1168">
        <v>968</v>
      </c>
      <c r="C577" s="1168">
        <v>1102</v>
      </c>
      <c r="D577" s="1168" t="s">
        <v>1290</v>
      </c>
      <c r="E577" s="137"/>
      <c r="F577" s="1162">
        <v>200</v>
      </c>
      <c r="G577" s="380"/>
      <c r="H577" s="853">
        <f>SUM(I577:L577)</f>
        <v>3865.685</v>
      </c>
      <c r="I577" s="853">
        <f>I578</f>
        <v>1040.6850000000002</v>
      </c>
      <c r="J577" s="853">
        <f>J578</f>
        <v>1625.3</v>
      </c>
      <c r="K577" s="853">
        <f>K578</f>
        <v>380.1</v>
      </c>
      <c r="L577" s="726">
        <f>L578</f>
        <v>819.6</v>
      </c>
      <c r="M577" s="912"/>
      <c r="N577" s="912"/>
    </row>
    <row r="578" spans="1:14" ht="12.75">
      <c r="A578" s="1161" t="s">
        <v>988</v>
      </c>
      <c r="B578" s="1168">
        <v>968</v>
      </c>
      <c r="C578" s="1168">
        <v>1102</v>
      </c>
      <c r="D578" s="1168" t="s">
        <v>1290</v>
      </c>
      <c r="E578" s="1168"/>
      <c r="F578" s="1162">
        <v>240</v>
      </c>
      <c r="G578" s="1162"/>
      <c r="H578" s="1170">
        <f t="shared" si="109"/>
        <v>3865.685</v>
      </c>
      <c r="I578" s="1170">
        <f>I579+I582</f>
        <v>1040.6850000000002</v>
      </c>
      <c r="J578" s="1170">
        <f>J579+J582</f>
        <v>1625.3</v>
      </c>
      <c r="K578" s="1170">
        <f>K579+K582</f>
        <v>380.1</v>
      </c>
      <c r="L578" s="1169">
        <f>L579+L582</f>
        <v>819.6</v>
      </c>
      <c r="M578" s="912"/>
      <c r="N578" s="912"/>
    </row>
    <row r="579" spans="1:14" ht="24" hidden="1">
      <c r="A579" s="1161" t="s">
        <v>1080</v>
      </c>
      <c r="B579" s="1168">
        <v>968</v>
      </c>
      <c r="C579" s="1168">
        <v>1102</v>
      </c>
      <c r="D579" s="1168" t="s">
        <v>1011</v>
      </c>
      <c r="E579" s="1168">
        <v>500</v>
      </c>
      <c r="F579" s="1162">
        <v>242</v>
      </c>
      <c r="G579" s="1162"/>
      <c r="H579" s="1170">
        <f t="shared" si="109"/>
        <v>0</v>
      </c>
      <c r="I579" s="1169">
        <f aca="true" t="shared" si="111" ref="I579:L580">I580</f>
        <v>0</v>
      </c>
      <c r="J579" s="1169">
        <f t="shared" si="111"/>
        <v>0</v>
      </c>
      <c r="K579" s="1169">
        <f t="shared" si="111"/>
        <v>0</v>
      </c>
      <c r="L579" s="1169">
        <f t="shared" si="111"/>
        <v>0</v>
      </c>
      <c r="M579" s="912"/>
      <c r="N579" s="912"/>
    </row>
    <row r="580" spans="1:14" ht="12.75" hidden="1">
      <c r="A580" s="363" t="s">
        <v>354</v>
      </c>
      <c r="B580" s="127">
        <v>968</v>
      </c>
      <c r="C580" s="127">
        <v>1102</v>
      </c>
      <c r="D580" s="127" t="s">
        <v>1011</v>
      </c>
      <c r="E580" s="127">
        <v>500</v>
      </c>
      <c r="F580" s="377">
        <v>242</v>
      </c>
      <c r="G580" s="377">
        <v>300</v>
      </c>
      <c r="H580" s="1686">
        <f>H581</f>
        <v>0</v>
      </c>
      <c r="I580" s="1685">
        <f t="shared" si="111"/>
        <v>0</v>
      </c>
      <c r="J580" s="1685">
        <f t="shared" si="111"/>
        <v>0</v>
      </c>
      <c r="K580" s="1685">
        <f t="shared" si="111"/>
        <v>0</v>
      </c>
      <c r="L580" s="1685">
        <f t="shared" si="111"/>
        <v>0</v>
      </c>
      <c r="M580" s="912"/>
      <c r="N580" s="912"/>
    </row>
    <row r="581" spans="1:14" ht="12.75" hidden="1">
      <c r="A581" s="365" t="s">
        <v>260</v>
      </c>
      <c r="B581" s="372">
        <v>968</v>
      </c>
      <c r="C581" s="637">
        <v>1102</v>
      </c>
      <c r="D581" s="637" t="s">
        <v>1011</v>
      </c>
      <c r="E581" s="637">
        <v>500</v>
      </c>
      <c r="F581" s="638">
        <v>242</v>
      </c>
      <c r="G581" s="638">
        <v>310</v>
      </c>
      <c r="H581" s="2424">
        <f>SUM(I581:L581)</f>
        <v>0</v>
      </c>
      <c r="I581" s="2424">
        <v>0</v>
      </c>
      <c r="J581" s="1686">
        <f>220-220</f>
        <v>0</v>
      </c>
      <c r="K581" s="1685">
        <v>0</v>
      </c>
      <c r="L581" s="1685">
        <v>0</v>
      </c>
      <c r="M581" s="912"/>
      <c r="N581" s="912"/>
    </row>
    <row r="582" spans="1:14" ht="12.75">
      <c r="A582" s="1161" t="s">
        <v>1063</v>
      </c>
      <c r="B582" s="1168">
        <v>968</v>
      </c>
      <c r="C582" s="1168">
        <v>1102</v>
      </c>
      <c r="D582" s="1168" t="s">
        <v>1290</v>
      </c>
      <c r="E582" s="1168">
        <v>500</v>
      </c>
      <c r="F582" s="1162">
        <v>244</v>
      </c>
      <c r="G582" s="1162"/>
      <c r="H582" s="1170">
        <f>H583+H586</f>
        <v>3865.685</v>
      </c>
      <c r="I582" s="1169">
        <f>I583+I586</f>
        <v>1040.6850000000002</v>
      </c>
      <c r="J582" s="1169">
        <f>J583+J586</f>
        <v>1625.3</v>
      </c>
      <c r="K582" s="1169">
        <f>K583+K586</f>
        <v>380.1</v>
      </c>
      <c r="L582" s="1169">
        <f>L583+L586</f>
        <v>819.6</v>
      </c>
      <c r="M582" s="912"/>
      <c r="N582" s="912"/>
    </row>
    <row r="583" spans="1:14" ht="12.75">
      <c r="A583" s="363" t="s">
        <v>350</v>
      </c>
      <c r="B583" s="127">
        <v>968</v>
      </c>
      <c r="C583" s="127">
        <v>1102</v>
      </c>
      <c r="D583" s="127" t="s">
        <v>1290</v>
      </c>
      <c r="E583" s="127">
        <v>500</v>
      </c>
      <c r="F583" s="377">
        <v>244</v>
      </c>
      <c r="G583" s="377">
        <v>200</v>
      </c>
      <c r="H583" s="1686">
        <f>H584+H585</f>
        <v>3865.685</v>
      </c>
      <c r="I583" s="1685">
        <f>I584+I585</f>
        <v>1040.6850000000002</v>
      </c>
      <c r="J583" s="1685">
        <f>J584+J585</f>
        <v>1625.3</v>
      </c>
      <c r="K583" s="1685">
        <f>K584+K585</f>
        <v>380.1</v>
      </c>
      <c r="L583" s="1685">
        <f>L584+L585</f>
        <v>819.6</v>
      </c>
      <c r="M583" s="912"/>
      <c r="N583" s="912"/>
    </row>
    <row r="584" spans="1:14" ht="12.75">
      <c r="A584" s="636" t="s">
        <v>353</v>
      </c>
      <c r="B584" s="637">
        <v>968</v>
      </c>
      <c r="C584" s="637">
        <v>1102</v>
      </c>
      <c r="D584" s="637" t="s">
        <v>1290</v>
      </c>
      <c r="E584" s="637">
        <v>500</v>
      </c>
      <c r="F584" s="638">
        <v>244</v>
      </c>
      <c r="G584" s="638">
        <v>226</v>
      </c>
      <c r="H584" s="2356">
        <f>SUM(I584:L584)</f>
        <v>3112.685</v>
      </c>
      <c r="I584" s="2356">
        <f>1299.7-21.3-312.715</f>
        <v>965.6850000000002</v>
      </c>
      <c r="J584" s="2355">
        <f>1443.3-323</f>
        <v>1120.3</v>
      </c>
      <c r="K584" s="2355">
        <v>380.1</v>
      </c>
      <c r="L584" s="2355">
        <v>646.6</v>
      </c>
      <c r="M584" s="912"/>
      <c r="N584" s="912"/>
    </row>
    <row r="585" spans="1:14" ht="13.5" thickBot="1">
      <c r="A585" s="365" t="s">
        <v>259</v>
      </c>
      <c r="B585" s="372">
        <v>968</v>
      </c>
      <c r="C585" s="372">
        <v>1102</v>
      </c>
      <c r="D585" s="372" t="s">
        <v>1290</v>
      </c>
      <c r="E585" s="372">
        <v>500</v>
      </c>
      <c r="F585" s="378">
        <v>244</v>
      </c>
      <c r="G585" s="378">
        <v>290</v>
      </c>
      <c r="H585" s="2424">
        <f>SUM(I585:L585)</f>
        <v>753</v>
      </c>
      <c r="I585" s="2424">
        <v>75</v>
      </c>
      <c r="J585" s="2425">
        <f>75+430</f>
        <v>505</v>
      </c>
      <c r="K585" s="2425">
        <v>0</v>
      </c>
      <c r="L585" s="2425">
        <v>173</v>
      </c>
      <c r="M585" s="912"/>
      <c r="N585" s="912"/>
    </row>
    <row r="586" spans="1:14" ht="13.5" hidden="1" thickBot="1">
      <c r="A586" s="363" t="s">
        <v>354</v>
      </c>
      <c r="B586" s="127">
        <v>968</v>
      </c>
      <c r="C586" s="127">
        <v>1102</v>
      </c>
      <c r="D586" s="127" t="s">
        <v>1011</v>
      </c>
      <c r="E586" s="127">
        <v>500</v>
      </c>
      <c r="F586" s="377">
        <v>244</v>
      </c>
      <c r="G586" s="377">
        <v>300</v>
      </c>
      <c r="H586" s="2376">
        <f>H587</f>
        <v>0</v>
      </c>
      <c r="I586" s="2375">
        <f>I587</f>
        <v>0</v>
      </c>
      <c r="J586" s="2375">
        <f>J587</f>
        <v>0</v>
      </c>
      <c r="K586" s="2375">
        <f>K587</f>
        <v>0</v>
      </c>
      <c r="L586" s="2375">
        <f>L587</f>
        <v>0</v>
      </c>
      <c r="M586" s="912"/>
      <c r="N586" s="912"/>
    </row>
    <row r="587" spans="1:14" ht="13.5" hidden="1" thickBot="1">
      <c r="A587" s="365" t="s">
        <v>260</v>
      </c>
      <c r="B587" s="372">
        <v>968</v>
      </c>
      <c r="C587" s="637">
        <v>1102</v>
      </c>
      <c r="D587" s="637" t="s">
        <v>1011</v>
      </c>
      <c r="E587" s="637">
        <v>500</v>
      </c>
      <c r="F587" s="638">
        <v>244</v>
      </c>
      <c r="G587" s="638">
        <v>310</v>
      </c>
      <c r="H587" s="2374">
        <f aca="true" t="shared" si="112" ref="H587:H592">SUM(I587:L587)</f>
        <v>0</v>
      </c>
      <c r="I587" s="2374">
        <v>0</v>
      </c>
      <c r="J587" s="2376">
        <v>0</v>
      </c>
      <c r="K587" s="2375">
        <v>0</v>
      </c>
      <c r="L587" s="2375">
        <v>0</v>
      </c>
      <c r="M587" s="912"/>
      <c r="N587" s="912"/>
    </row>
    <row r="588" spans="1:14" ht="15.75" thickBot="1">
      <c r="A588" s="644" t="s">
        <v>893</v>
      </c>
      <c r="B588" s="645">
        <v>968</v>
      </c>
      <c r="C588" s="645">
        <v>1200</v>
      </c>
      <c r="D588" s="645"/>
      <c r="E588" s="645"/>
      <c r="F588" s="646"/>
      <c r="G588" s="646"/>
      <c r="H588" s="2422">
        <f t="shared" si="112"/>
        <v>1800</v>
      </c>
      <c r="I588" s="2422">
        <f>I589</f>
        <v>594.5</v>
      </c>
      <c r="J588" s="2423">
        <f>J589</f>
        <v>662.5</v>
      </c>
      <c r="K588" s="2423">
        <f>K589</f>
        <v>149.5</v>
      </c>
      <c r="L588" s="2423">
        <f>L589</f>
        <v>393.5</v>
      </c>
      <c r="M588" s="912"/>
      <c r="N588" s="912"/>
    </row>
    <row r="589" spans="1:14" ht="15">
      <c r="A589" s="386" t="s">
        <v>692</v>
      </c>
      <c r="B589" s="371">
        <v>968</v>
      </c>
      <c r="C589" s="371">
        <v>1202</v>
      </c>
      <c r="D589" s="371"/>
      <c r="E589" s="371"/>
      <c r="F589" s="376"/>
      <c r="G589" s="376"/>
      <c r="H589" s="2451">
        <f t="shared" si="112"/>
        <v>1800</v>
      </c>
      <c r="I589" s="2451">
        <f aca="true" t="shared" si="113" ref="H589:L593">I590</f>
        <v>594.5</v>
      </c>
      <c r="J589" s="2452">
        <f t="shared" si="113"/>
        <v>662.5</v>
      </c>
      <c r="K589" s="2452">
        <f t="shared" si="113"/>
        <v>149.5</v>
      </c>
      <c r="L589" s="2452">
        <f t="shared" si="113"/>
        <v>393.5</v>
      </c>
      <c r="M589" s="912"/>
      <c r="N589" s="912"/>
    </row>
    <row r="590" spans="1:14" ht="15.75" customHeight="1">
      <c r="A590" s="385" t="s">
        <v>1032</v>
      </c>
      <c r="B590" s="137">
        <v>968</v>
      </c>
      <c r="C590" s="137">
        <v>1202</v>
      </c>
      <c r="D590" s="137" t="s">
        <v>696</v>
      </c>
      <c r="E590" s="137"/>
      <c r="F590" s="380"/>
      <c r="G590" s="380"/>
      <c r="H590" s="853">
        <f t="shared" si="112"/>
        <v>1800</v>
      </c>
      <c r="I590" s="853">
        <f>I591</f>
        <v>594.5</v>
      </c>
      <c r="J590" s="853">
        <f t="shared" si="113"/>
        <v>662.5</v>
      </c>
      <c r="K590" s="853">
        <f t="shared" si="113"/>
        <v>149.5</v>
      </c>
      <c r="L590" s="726">
        <f t="shared" si="113"/>
        <v>393.5</v>
      </c>
      <c r="M590" s="912"/>
      <c r="N590" s="912"/>
    </row>
    <row r="591" spans="1:14" ht="12.75">
      <c r="A591" s="385" t="s">
        <v>1186</v>
      </c>
      <c r="B591" s="1168">
        <v>968</v>
      </c>
      <c r="C591" s="1168">
        <v>1202</v>
      </c>
      <c r="D591" s="1168" t="s">
        <v>696</v>
      </c>
      <c r="E591" s="1168">
        <v>500</v>
      </c>
      <c r="F591" s="1162">
        <v>200</v>
      </c>
      <c r="G591" s="380"/>
      <c r="H591" s="853">
        <f t="shared" si="112"/>
        <v>1800</v>
      </c>
      <c r="I591" s="853">
        <f>I592</f>
        <v>594.5</v>
      </c>
      <c r="J591" s="853">
        <f>J592</f>
        <v>662.5</v>
      </c>
      <c r="K591" s="853">
        <f>K592</f>
        <v>149.5</v>
      </c>
      <c r="L591" s="726">
        <f>L592</f>
        <v>393.5</v>
      </c>
      <c r="M591" s="912"/>
      <c r="N591" s="912"/>
    </row>
    <row r="592" spans="1:14" ht="12.75">
      <c r="A592" s="1161" t="s">
        <v>1063</v>
      </c>
      <c r="B592" s="1168">
        <v>968</v>
      </c>
      <c r="C592" s="1168">
        <v>1202</v>
      </c>
      <c r="D592" s="1168" t="s">
        <v>696</v>
      </c>
      <c r="E592" s="1168">
        <v>500</v>
      </c>
      <c r="F592" s="1162">
        <v>244</v>
      </c>
      <c r="G592" s="1162"/>
      <c r="H592" s="1170">
        <f t="shared" si="112"/>
        <v>1800</v>
      </c>
      <c r="I592" s="1170">
        <f>I593+I595</f>
        <v>594.5</v>
      </c>
      <c r="J592" s="1170">
        <f>J593+J595</f>
        <v>662.5</v>
      </c>
      <c r="K592" s="1170">
        <f>K593+K595</f>
        <v>149.5</v>
      </c>
      <c r="L592" s="1169">
        <f>L593+L595</f>
        <v>393.5</v>
      </c>
      <c r="M592" s="912"/>
      <c r="N592" s="912"/>
    </row>
    <row r="593" spans="1:14" ht="13.5" thickBot="1">
      <c r="A593" s="363" t="s">
        <v>350</v>
      </c>
      <c r="B593" s="127">
        <v>968</v>
      </c>
      <c r="C593" s="127">
        <v>1202</v>
      </c>
      <c r="D593" s="127" t="s">
        <v>696</v>
      </c>
      <c r="E593" s="127">
        <v>500</v>
      </c>
      <c r="F593" s="377">
        <v>244</v>
      </c>
      <c r="G593" s="377">
        <v>200</v>
      </c>
      <c r="H593" s="1686">
        <f t="shared" si="113"/>
        <v>1800</v>
      </c>
      <c r="I593" s="1686">
        <f t="shared" si="113"/>
        <v>594.5</v>
      </c>
      <c r="J593" s="1685">
        <f t="shared" si="113"/>
        <v>662.5</v>
      </c>
      <c r="K593" s="1685">
        <f t="shared" si="113"/>
        <v>149.5</v>
      </c>
      <c r="L593" s="2453">
        <f t="shared" si="113"/>
        <v>393.5</v>
      </c>
      <c r="M593" s="912"/>
      <c r="N593" s="912"/>
    </row>
    <row r="594" spans="1:14" ht="13.5" thickBot="1">
      <c r="A594" s="930" t="s">
        <v>353</v>
      </c>
      <c r="B594" s="931">
        <v>968</v>
      </c>
      <c r="C594" s="931">
        <v>1202</v>
      </c>
      <c r="D594" s="931" t="s">
        <v>696</v>
      </c>
      <c r="E594" s="931">
        <v>500</v>
      </c>
      <c r="F594" s="932">
        <v>244</v>
      </c>
      <c r="G594" s="932">
        <v>226</v>
      </c>
      <c r="H594" s="2416">
        <f>SUM(I594:L594)</f>
        <v>1800</v>
      </c>
      <c r="I594" s="2416">
        <f>791.5-197</f>
        <v>594.5</v>
      </c>
      <c r="J594" s="2421">
        <f>465.5+197</f>
        <v>662.5</v>
      </c>
      <c r="K594" s="2421">
        <v>149.5</v>
      </c>
      <c r="L594" s="2454">
        <v>393.5</v>
      </c>
      <c r="M594" s="912"/>
      <c r="N594" s="912"/>
    </row>
    <row r="595" spans="1:14" ht="12.75" hidden="1">
      <c r="A595" s="2084" t="s">
        <v>354</v>
      </c>
      <c r="B595" s="2083">
        <v>968</v>
      </c>
      <c r="C595" s="2083">
        <v>1202</v>
      </c>
      <c r="D595" s="2083" t="s">
        <v>696</v>
      </c>
      <c r="E595" s="2083">
        <v>500</v>
      </c>
      <c r="F595" s="2085">
        <v>244</v>
      </c>
      <c r="G595" s="2085">
        <v>300</v>
      </c>
      <c r="H595" s="2086">
        <f>SUM(I595:L595)</f>
        <v>0</v>
      </c>
      <c r="I595" s="2087">
        <f>I596</f>
        <v>0</v>
      </c>
      <c r="J595" s="2087">
        <f>J596</f>
        <v>0</v>
      </c>
      <c r="K595" s="2087">
        <f>K596</f>
        <v>0</v>
      </c>
      <c r="L595" s="2088">
        <f>L596</f>
        <v>0</v>
      </c>
      <c r="M595" s="912"/>
      <c r="N595" s="912"/>
    </row>
    <row r="596" spans="1:14" ht="13.5" hidden="1" thickBot="1">
      <c r="A596" s="366" t="s">
        <v>261</v>
      </c>
      <c r="B596" s="637">
        <v>968</v>
      </c>
      <c r="C596" s="637">
        <v>1202</v>
      </c>
      <c r="D596" s="637" t="s">
        <v>696</v>
      </c>
      <c r="E596" s="637">
        <v>500</v>
      </c>
      <c r="F596" s="638">
        <v>244</v>
      </c>
      <c r="G596" s="379">
        <v>340</v>
      </c>
      <c r="H596" s="1689">
        <f>SUM(I596:L596)</f>
        <v>0</v>
      </c>
      <c r="I596" s="1690">
        <v>0</v>
      </c>
      <c r="J596" s="1690">
        <v>0</v>
      </c>
      <c r="K596" s="1690">
        <v>0</v>
      </c>
      <c r="L596" s="1691">
        <v>0</v>
      </c>
      <c r="M596" s="912"/>
      <c r="N596" s="912"/>
    </row>
    <row r="597" spans="1:14" ht="16.5" thickBot="1">
      <c r="A597" s="758" t="s">
        <v>325</v>
      </c>
      <c r="B597" s="657"/>
      <c r="C597" s="657"/>
      <c r="D597" s="657"/>
      <c r="E597" s="657"/>
      <c r="F597" s="658"/>
      <c r="G597" s="881"/>
      <c r="H597" s="669">
        <f>SUM(I597:L597)</f>
        <v>120621.99999999999</v>
      </c>
      <c r="I597" s="669">
        <f>I148</f>
        <v>16697.756</v>
      </c>
      <c r="J597" s="669">
        <f>J148</f>
        <v>28421.349</v>
      </c>
      <c r="K597" s="669">
        <f>K148</f>
        <v>59617.873999999996</v>
      </c>
      <c r="L597" s="669">
        <f>L148</f>
        <v>15885.020999999999</v>
      </c>
      <c r="M597" s="912"/>
      <c r="N597" s="912"/>
    </row>
    <row r="598" spans="1:13" ht="12.75">
      <c r="A598" t="s">
        <v>358</v>
      </c>
      <c r="I598" s="2910" t="s">
        <v>1284</v>
      </c>
      <c r="J598" s="2910"/>
      <c r="K598" s="2910"/>
      <c r="M598" s="912"/>
    </row>
    <row r="599" spans="1:13" ht="13.5" thickBot="1">
      <c r="A599" s="2980" t="s">
        <v>359</v>
      </c>
      <c r="B599" s="2980"/>
      <c r="I599" s="2910" t="s">
        <v>1259</v>
      </c>
      <c r="J599" s="2910"/>
      <c r="K599" s="2910"/>
      <c r="M599" s="912"/>
    </row>
    <row r="600" spans="1:13" ht="16.5" thickBot="1">
      <c r="A600" s="758" t="s">
        <v>527</v>
      </c>
      <c r="B600" s="2985"/>
      <c r="C600" s="2986"/>
      <c r="D600" s="757"/>
      <c r="E600" s="2985"/>
      <c r="F600" s="2987"/>
      <c r="G600" s="2988"/>
      <c r="H600" s="882">
        <f>H597+H109+H30</f>
        <v>124999.99999999999</v>
      </c>
      <c r="I600" s="882">
        <f>I597+I109+I30</f>
        <v>17891.748</v>
      </c>
      <c r="J600" s="882">
        <f>J597+J109+J30</f>
        <v>30011.135</v>
      </c>
      <c r="K600" s="882">
        <f>K597+K109+K30</f>
        <v>60439.87899999999</v>
      </c>
      <c r="L600" s="882">
        <f>L597+L109+L30</f>
        <v>16657.237999999998</v>
      </c>
      <c r="M600" s="912"/>
    </row>
    <row r="602" spans="9:11" ht="12.75">
      <c r="I602" s="2910"/>
      <c r="J602" s="2910"/>
      <c r="K602" s="2910"/>
    </row>
    <row r="604" spans="1:11" ht="12.75">
      <c r="A604" s="2980"/>
      <c r="B604" s="2980"/>
      <c r="I604" s="2910"/>
      <c r="J604" s="2910"/>
      <c r="K604" s="2910"/>
    </row>
  </sheetData>
  <sheetProtection/>
  <mergeCells count="68">
    <mergeCell ref="D125:L125"/>
    <mergeCell ref="D141:L141"/>
    <mergeCell ref="I598:K598"/>
    <mergeCell ref="D142:L142"/>
    <mergeCell ref="D136:L136"/>
    <mergeCell ref="D138:L138"/>
    <mergeCell ref="D137:L137"/>
    <mergeCell ref="D135:L135"/>
    <mergeCell ref="D128:L128"/>
    <mergeCell ref="D129:L129"/>
    <mergeCell ref="A604:B604"/>
    <mergeCell ref="I602:K602"/>
    <mergeCell ref="I604:K604"/>
    <mergeCell ref="B600:C600"/>
    <mergeCell ref="E600:G600"/>
    <mergeCell ref="D140:L140"/>
    <mergeCell ref="D144:L144"/>
    <mergeCell ref="A599:B599"/>
    <mergeCell ref="D130:L130"/>
    <mergeCell ref="D36:L36"/>
    <mergeCell ref="I599:K599"/>
    <mergeCell ref="A133:L133"/>
    <mergeCell ref="D120:L120"/>
    <mergeCell ref="D122:L122"/>
    <mergeCell ref="A134:L134"/>
    <mergeCell ref="D143:L143"/>
    <mergeCell ref="A145:L145"/>
    <mergeCell ref="D139:L139"/>
    <mergeCell ref="A54:L54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I111:K111"/>
    <mergeCell ref="I110:K110"/>
    <mergeCell ref="D123:L123"/>
    <mergeCell ref="D124:L124"/>
    <mergeCell ref="D34:L34"/>
    <mergeCell ref="D35:L35"/>
    <mergeCell ref="A48:L48"/>
    <mergeCell ref="D117:L117"/>
    <mergeCell ref="D115:L115"/>
    <mergeCell ref="D51:L51"/>
    <mergeCell ref="A33:B33"/>
    <mergeCell ref="I33:K33"/>
    <mergeCell ref="D121:L121"/>
    <mergeCell ref="D119:L119"/>
    <mergeCell ref="D37:L37"/>
    <mergeCell ref="D40:L40"/>
    <mergeCell ref="A49:L49"/>
    <mergeCell ref="D52:L52"/>
    <mergeCell ref="A111:B111"/>
    <mergeCell ref="D45:L45"/>
    <mergeCell ref="D1:L1"/>
    <mergeCell ref="D2:L2"/>
    <mergeCell ref="D132:L132"/>
    <mergeCell ref="D131:L131"/>
    <mergeCell ref="D114:L114"/>
    <mergeCell ref="D116:L116"/>
    <mergeCell ref="D118:L118"/>
    <mergeCell ref="A3:L3"/>
    <mergeCell ref="A4:L4"/>
    <mergeCell ref="I32:K3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3"/>
  <sheetViews>
    <sheetView zoomScale="84" zoomScaleNormal="84" zoomScalePageLayoutView="0" workbookViewId="0" topLeftCell="A33">
      <selection activeCell="J13" sqref="J13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2911" t="s">
        <v>191</v>
      </c>
      <c r="D1" s="2911"/>
      <c r="E1" s="2911"/>
      <c r="F1" s="2911"/>
      <c r="G1" s="2911"/>
      <c r="H1" s="2911"/>
    </row>
    <row r="2" spans="3:8" ht="12.75">
      <c r="C2" s="2995" t="str">
        <f>'Бюд.р.'!D115</f>
        <v>№ 02-03-01 от 12.01.2015</v>
      </c>
      <c r="D2" s="2911"/>
      <c r="E2" s="2911"/>
      <c r="F2" s="2911"/>
      <c r="G2" s="2911"/>
      <c r="H2" s="2911"/>
    </row>
    <row r="3" spans="3:8" ht="12.75">
      <c r="C3" s="2995" t="str">
        <f>'Бюд.р.'!D116</f>
        <v>№ 02-03-02 от 14.01.2015</v>
      </c>
      <c r="D3" s="2911"/>
      <c r="E3" s="2911"/>
      <c r="F3" s="2911"/>
      <c r="G3" s="2911"/>
      <c r="H3" s="2911"/>
    </row>
    <row r="4" spans="3:8" ht="12.75" hidden="1">
      <c r="C4" s="2995" t="str">
        <f>'Бюд.р.'!D117</f>
        <v>№ 02-03-03 от 30.01.2015</v>
      </c>
      <c r="D4" s="2911"/>
      <c r="E4" s="2911"/>
      <c r="F4" s="2911"/>
      <c r="G4" s="2911"/>
      <c r="H4" s="2911"/>
    </row>
    <row r="5" spans="3:8" ht="12.75">
      <c r="C5" s="2995" t="str">
        <f>'Бюд.р.'!D118</f>
        <v>№ 02-03-04 от 18.02.2015</v>
      </c>
      <c r="D5" s="2995"/>
      <c r="E5" s="2995"/>
      <c r="F5" s="2995"/>
      <c r="G5" s="2995"/>
      <c r="H5" s="2995"/>
    </row>
    <row r="6" spans="3:8" ht="12.75">
      <c r="C6" s="2989" t="str">
        <f>'Бюд.р.'!D119</f>
        <v>№ 02-03-05 от 24.02.2015</v>
      </c>
      <c r="D6" s="2989"/>
      <c r="E6" s="2989"/>
      <c r="F6" s="2989"/>
      <c r="G6" s="2989"/>
      <c r="H6" s="2989"/>
    </row>
    <row r="7" spans="3:8" ht="12.75">
      <c r="C7" s="2989" t="str">
        <f>'Бюд.р.'!D120</f>
        <v>№ 02-03-06 от 10.03.2015</v>
      </c>
      <c r="D7" s="2989"/>
      <c r="E7" s="2989"/>
      <c r="F7" s="2989"/>
      <c r="G7" s="2989"/>
      <c r="H7" s="2989"/>
    </row>
    <row r="8" spans="3:8" ht="12.75">
      <c r="C8" s="2989" t="str">
        <f>'Бюд.р.'!D121</f>
        <v>№ 02-03-07 от 25.03.2015</v>
      </c>
      <c r="D8" s="2989"/>
      <c r="E8" s="2989"/>
      <c r="F8" s="2989"/>
      <c r="G8" s="2989"/>
      <c r="H8" s="2989"/>
    </row>
    <row r="9" spans="1:8" ht="15.75">
      <c r="A9" s="2939" t="s">
        <v>190</v>
      </c>
      <c r="B9" s="2939"/>
      <c r="C9" s="2939"/>
      <c r="D9" s="2939"/>
      <c r="E9" s="2939"/>
      <c r="F9" s="2939"/>
      <c r="G9" s="2939"/>
      <c r="H9" s="2939"/>
    </row>
    <row r="10" spans="1:8" ht="15.75">
      <c r="A10" s="2939" t="s">
        <v>189</v>
      </c>
      <c r="B10" s="2939"/>
      <c r="C10" s="2939"/>
      <c r="D10" s="2939"/>
      <c r="E10" s="2939"/>
      <c r="F10" s="2939"/>
      <c r="G10" s="2939"/>
      <c r="H10" s="2939"/>
    </row>
    <row r="11" spans="1:8" ht="15.75">
      <c r="A11" s="2939" t="s">
        <v>415</v>
      </c>
      <c r="B11" s="2939"/>
      <c r="C11" s="2939"/>
      <c r="D11" s="2939"/>
      <c r="E11" s="2939"/>
      <c r="F11" s="2939"/>
      <c r="G11" s="2939"/>
      <c r="H11" s="2939"/>
    </row>
    <row r="12" spans="1:8" ht="15" customHeight="1" thickBot="1">
      <c r="A12" s="2990" t="s">
        <v>1280</v>
      </c>
      <c r="B12" s="2990"/>
      <c r="C12" s="2990"/>
      <c r="D12" s="2990"/>
      <c r="E12" s="2990"/>
      <c r="F12" s="2990"/>
      <c r="G12" s="2990"/>
      <c r="H12" s="2990"/>
    </row>
    <row r="13" spans="1:8" ht="15.75">
      <c r="A13" s="3000" t="s">
        <v>302</v>
      </c>
      <c r="B13" s="3001"/>
      <c r="C13" s="2996" t="s">
        <v>301</v>
      </c>
      <c r="D13" s="83" t="s">
        <v>303</v>
      </c>
      <c r="E13" s="2998" t="s">
        <v>444</v>
      </c>
      <c r="F13" s="2991" t="s">
        <v>445</v>
      </c>
      <c r="G13" s="2991" t="s">
        <v>446</v>
      </c>
      <c r="H13" s="2993" t="s">
        <v>447</v>
      </c>
    </row>
    <row r="14" spans="1:8" ht="36.75" customHeight="1" thickBot="1">
      <c r="A14" s="85" t="s">
        <v>170</v>
      </c>
      <c r="B14" s="86" t="s">
        <v>663</v>
      </c>
      <c r="C14" s="2997"/>
      <c r="D14" s="84" t="s">
        <v>304</v>
      </c>
      <c r="E14" s="2999"/>
      <c r="F14" s="2992"/>
      <c r="G14" s="2992"/>
      <c r="H14" s="2994"/>
    </row>
    <row r="15" spans="1:8" ht="33" customHeight="1" thickBot="1">
      <c r="A15" s="60" t="s">
        <v>168</v>
      </c>
      <c r="B15" s="61" t="s">
        <v>167</v>
      </c>
      <c r="C15" s="58" t="s">
        <v>392</v>
      </c>
      <c r="D15" s="423">
        <f>D17+D33+D36+D40+D47+D53+D59+D75+D81</f>
        <v>101711.7</v>
      </c>
      <c r="E15" s="632">
        <f>E17+E33+E36+E40+E47+E53+E59+E75+E81</f>
        <v>16786</v>
      </c>
      <c r="F15" s="424">
        <f>F17+F33+F36+F40+F47+F53+F59+F75+F81</f>
        <v>24626.8</v>
      </c>
      <c r="G15" s="424">
        <f>G17+G33+G36+G40+G47+G53+G59+G75+G81</f>
        <v>32897</v>
      </c>
      <c r="H15" s="424">
        <f>H17+H33+H36+H40+H47+H53+H59+H75+H81</f>
        <v>27401.9</v>
      </c>
    </row>
    <row r="16" spans="1:8" ht="19.5" customHeight="1" thickBot="1">
      <c r="A16" s="217"/>
      <c r="B16" s="218"/>
      <c r="C16" s="219" t="s">
        <v>478</v>
      </c>
      <c r="D16" s="1072"/>
      <c r="E16" s="633"/>
      <c r="F16" s="425"/>
      <c r="G16" s="425"/>
      <c r="H16" s="426"/>
    </row>
    <row r="17" spans="1:8" ht="15" customHeight="1" thickBot="1">
      <c r="A17" s="35" t="s">
        <v>170</v>
      </c>
      <c r="B17" s="62" t="s">
        <v>169</v>
      </c>
      <c r="C17" s="115" t="s">
        <v>305</v>
      </c>
      <c r="D17" s="427">
        <f>SUM(E17:H17)</f>
        <v>59675</v>
      </c>
      <c r="E17" s="634">
        <f>E18+E28+E31</f>
        <v>14171</v>
      </c>
      <c r="F17" s="634">
        <f>F18+F28+F31</f>
        <v>16367</v>
      </c>
      <c r="G17" s="634">
        <f>G18+G28+G31</f>
        <v>15568</v>
      </c>
      <c r="H17" s="634">
        <f>H18+H28+H31</f>
        <v>13569</v>
      </c>
    </row>
    <row r="18" spans="1:8" ht="28.5" customHeight="1">
      <c r="A18" s="1840" t="s">
        <v>170</v>
      </c>
      <c r="B18" s="1841" t="s">
        <v>668</v>
      </c>
      <c r="C18" s="1842" t="s">
        <v>345</v>
      </c>
      <c r="D18" s="1843">
        <f>D20+D23+D26</f>
        <v>25945</v>
      </c>
      <c r="E18" s="1844">
        <f>E20+E23+E26</f>
        <v>6225</v>
      </c>
      <c r="F18" s="1845">
        <f>F20+F23+F26</f>
        <v>7881</v>
      </c>
      <c r="G18" s="1845">
        <f>G20+G23+G26</f>
        <v>6226</v>
      </c>
      <c r="H18" s="1846">
        <f>H20+H23+H26</f>
        <v>5613</v>
      </c>
    </row>
    <row r="19" spans="1:8" ht="24" customHeight="1" hidden="1" thickBot="1">
      <c r="A19" s="92"/>
      <c r="B19" s="538"/>
      <c r="C19" s="72" t="s">
        <v>334</v>
      </c>
      <c r="D19" s="1073" t="e">
        <f>SUM(E19:H19)</f>
        <v>#REF!</v>
      </c>
      <c r="E19" s="1090" t="e">
        <f>E20+E23+E28+E35+E38+E51+E60+#REF!+E69+E74</f>
        <v>#REF!</v>
      </c>
      <c r="F19" s="407" t="e">
        <f>F20+F23+F28+F35+F38+F51+F60+#REF!+F69+F74</f>
        <v>#REF!</v>
      </c>
      <c r="G19" s="407" t="e">
        <f>G20+G23+G28+G35+G38+G51+G60+#REF!+G69+G74</f>
        <v>#REF!</v>
      </c>
      <c r="H19" s="408" t="e">
        <f>H20+H23+H28+H35+H38+H51+H60+#REF!+H69+H74</f>
        <v>#REF!</v>
      </c>
    </row>
    <row r="20" spans="1:8" ht="30.75" customHeight="1">
      <c r="A20" s="232" t="s">
        <v>171</v>
      </c>
      <c r="B20" s="845" t="s">
        <v>172</v>
      </c>
      <c r="C20" s="1062" t="s">
        <v>361</v>
      </c>
      <c r="D20" s="1074">
        <f>SUM(D21:D22)</f>
        <v>19140</v>
      </c>
      <c r="E20" s="1091">
        <f>SUM(E21:E22)</f>
        <v>4354</v>
      </c>
      <c r="F20" s="1071">
        <f>SUM(F21:F22)</f>
        <v>5398</v>
      </c>
      <c r="G20" s="1071">
        <f>SUM(G21:G22)</f>
        <v>5050</v>
      </c>
      <c r="H20" s="1092">
        <f>SUM(H21:H22)</f>
        <v>4338</v>
      </c>
    </row>
    <row r="21" spans="1:8" ht="30.75" customHeight="1">
      <c r="A21" s="229" t="s">
        <v>171</v>
      </c>
      <c r="B21" s="468" t="s">
        <v>911</v>
      </c>
      <c r="C21" s="1061" t="s">
        <v>361</v>
      </c>
      <c r="D21" s="1075">
        <f aca="true" t="shared" si="0" ref="D21:D34">SUM(E21:H21)</f>
        <v>19137</v>
      </c>
      <c r="E21" s="1093">
        <v>4352</v>
      </c>
      <c r="F21" s="414">
        <v>5397</v>
      </c>
      <c r="G21" s="414">
        <v>5050</v>
      </c>
      <c r="H21" s="415">
        <v>4338</v>
      </c>
    </row>
    <row r="22" spans="1:8" ht="40.5" customHeight="1">
      <c r="A22" s="229" t="s">
        <v>171</v>
      </c>
      <c r="B22" s="468" t="s">
        <v>912</v>
      </c>
      <c r="C22" s="1061" t="s">
        <v>915</v>
      </c>
      <c r="D22" s="1075">
        <f t="shared" si="0"/>
        <v>3</v>
      </c>
      <c r="E22" s="1093">
        <v>2</v>
      </c>
      <c r="F22" s="414">
        <v>1</v>
      </c>
      <c r="G22" s="414">
        <v>0</v>
      </c>
      <c r="H22" s="415">
        <v>0</v>
      </c>
    </row>
    <row r="23" spans="1:8" ht="40.5" customHeight="1">
      <c r="A23" s="232" t="s">
        <v>171</v>
      </c>
      <c r="B23" s="845" t="s">
        <v>227</v>
      </c>
      <c r="C23" s="1062" t="s">
        <v>362</v>
      </c>
      <c r="D23" s="1074">
        <f t="shared" si="0"/>
        <v>5051</v>
      </c>
      <c r="E23" s="1094">
        <f>SUM(E24:E25)</f>
        <v>1081</v>
      </c>
      <c r="F23" s="1094">
        <f>SUM(F24:F25)</f>
        <v>1683</v>
      </c>
      <c r="G23" s="1094">
        <f>SUM(G24:G25)</f>
        <v>1121</v>
      </c>
      <c r="H23" s="1094">
        <f>SUM(H24:H25)</f>
        <v>1166</v>
      </c>
    </row>
    <row r="24" spans="1:8" ht="24.75" customHeight="1">
      <c r="A24" s="229" t="s">
        <v>171</v>
      </c>
      <c r="B24" s="468" t="s">
        <v>913</v>
      </c>
      <c r="C24" s="1061" t="s">
        <v>362</v>
      </c>
      <c r="D24" s="1075">
        <f t="shared" si="0"/>
        <v>5050</v>
      </c>
      <c r="E24" s="1093">
        <v>1080</v>
      </c>
      <c r="F24" s="414">
        <v>1683</v>
      </c>
      <c r="G24" s="414">
        <v>1121</v>
      </c>
      <c r="H24" s="415">
        <v>1166</v>
      </c>
    </row>
    <row r="25" spans="1:8" ht="35.25" customHeight="1">
      <c r="A25" s="229" t="s">
        <v>171</v>
      </c>
      <c r="B25" s="468" t="s">
        <v>914</v>
      </c>
      <c r="C25" s="1061" t="s">
        <v>916</v>
      </c>
      <c r="D25" s="1075">
        <f t="shared" si="0"/>
        <v>1</v>
      </c>
      <c r="E25" s="1093">
        <v>1</v>
      </c>
      <c r="F25" s="414">
        <v>0</v>
      </c>
      <c r="G25" s="414">
        <v>0</v>
      </c>
      <c r="H25" s="415">
        <v>0</v>
      </c>
    </row>
    <row r="26" spans="1:8" ht="27" customHeight="1">
      <c r="A26" s="1063" t="s">
        <v>928</v>
      </c>
      <c r="B26" s="622" t="s">
        <v>931</v>
      </c>
      <c r="C26" s="1118" t="s">
        <v>930</v>
      </c>
      <c r="D26" s="1114">
        <f t="shared" si="0"/>
        <v>1754</v>
      </c>
      <c r="E26" s="1115">
        <v>790</v>
      </c>
      <c r="F26" s="1116">
        <v>800</v>
      </c>
      <c r="G26" s="1116">
        <v>55</v>
      </c>
      <c r="H26" s="1117">
        <v>109</v>
      </c>
    </row>
    <row r="27" spans="1:8" ht="33" customHeight="1" hidden="1">
      <c r="A27" s="229" t="s">
        <v>928</v>
      </c>
      <c r="B27" s="468" t="s">
        <v>929</v>
      </c>
      <c r="C27" s="1113" t="s">
        <v>930</v>
      </c>
      <c r="D27" s="1075">
        <f t="shared" si="0"/>
        <v>1319.3</v>
      </c>
      <c r="E27" s="1093">
        <v>322.3</v>
      </c>
      <c r="F27" s="1111">
        <v>767.3</v>
      </c>
      <c r="G27" s="1111">
        <v>105.7</v>
      </c>
      <c r="H27" s="1112">
        <v>124</v>
      </c>
    </row>
    <row r="28" spans="1:8" ht="26.25" customHeight="1">
      <c r="A28" s="1847" t="s">
        <v>171</v>
      </c>
      <c r="B28" s="1848" t="s">
        <v>497</v>
      </c>
      <c r="C28" s="1849" t="s">
        <v>306</v>
      </c>
      <c r="D28" s="1850">
        <f t="shared" si="0"/>
        <v>33333</v>
      </c>
      <c r="E28" s="1851">
        <f>SUM(E29:E30)</f>
        <v>7833</v>
      </c>
      <c r="F28" s="1852">
        <f>SUM(F29:F30)</f>
        <v>8400</v>
      </c>
      <c r="G28" s="1852">
        <f>SUM(G29:G30)</f>
        <v>9200</v>
      </c>
      <c r="H28" s="1853">
        <f>SUM(H29:H30)</f>
        <v>7900</v>
      </c>
    </row>
    <row r="29" spans="1:8" ht="16.5" customHeight="1">
      <c r="A29" s="106" t="s">
        <v>171</v>
      </c>
      <c r="B29" s="468" t="s">
        <v>917</v>
      </c>
      <c r="C29" s="1061" t="s">
        <v>306</v>
      </c>
      <c r="D29" s="1075">
        <f t="shared" si="0"/>
        <v>33300</v>
      </c>
      <c r="E29" s="1093">
        <v>7800</v>
      </c>
      <c r="F29" s="414">
        <v>8400</v>
      </c>
      <c r="G29" s="414">
        <v>9200</v>
      </c>
      <c r="H29" s="415">
        <v>7900</v>
      </c>
    </row>
    <row r="30" spans="1:8" ht="25.5" customHeight="1">
      <c r="A30" s="106" t="s">
        <v>171</v>
      </c>
      <c r="B30" s="468" t="s">
        <v>918</v>
      </c>
      <c r="C30" s="1061" t="s">
        <v>919</v>
      </c>
      <c r="D30" s="1075">
        <f t="shared" si="0"/>
        <v>33</v>
      </c>
      <c r="E30" s="1093">
        <v>33</v>
      </c>
      <c r="F30" s="414">
        <v>0</v>
      </c>
      <c r="G30" s="414">
        <v>0</v>
      </c>
      <c r="H30" s="415">
        <v>0</v>
      </c>
    </row>
    <row r="31" spans="1:8" ht="27.75" customHeight="1">
      <c r="A31" s="1847" t="s">
        <v>170</v>
      </c>
      <c r="B31" s="1848" t="s">
        <v>1136</v>
      </c>
      <c r="C31" s="1849" t="s">
        <v>1137</v>
      </c>
      <c r="D31" s="1850">
        <f>SUM(E31:H31)</f>
        <v>397</v>
      </c>
      <c r="E31" s="1851">
        <f>SUM(E32:E32)</f>
        <v>113</v>
      </c>
      <c r="F31" s="1852">
        <f>SUM(F32:F32)</f>
        <v>86</v>
      </c>
      <c r="G31" s="1852">
        <f>SUM(G32:G32)</f>
        <v>142</v>
      </c>
      <c r="H31" s="1853">
        <f>SUM(H32:H32)</f>
        <v>56</v>
      </c>
    </row>
    <row r="32" spans="1:8" ht="35.25" customHeight="1">
      <c r="A32" s="106" t="s">
        <v>171</v>
      </c>
      <c r="B32" s="468" t="s">
        <v>1138</v>
      </c>
      <c r="C32" s="1061" t="s">
        <v>1369</v>
      </c>
      <c r="D32" s="1075">
        <f>SUM(E32:H32)</f>
        <v>397</v>
      </c>
      <c r="E32" s="1093">
        <v>113</v>
      </c>
      <c r="F32" s="414">
        <v>86</v>
      </c>
      <c r="G32" s="414">
        <v>142</v>
      </c>
      <c r="H32" s="415">
        <v>56</v>
      </c>
    </row>
    <row r="33" spans="1:8" ht="17.25" customHeight="1">
      <c r="A33" s="476" t="s">
        <v>170</v>
      </c>
      <c r="B33" s="457" t="s">
        <v>173</v>
      </c>
      <c r="C33" s="501" t="s">
        <v>307</v>
      </c>
      <c r="D33" s="1076">
        <f t="shared" si="0"/>
        <v>39399.9</v>
      </c>
      <c r="E33" s="1095">
        <f aca="true" t="shared" si="1" ref="E33:H34">E34</f>
        <v>2132</v>
      </c>
      <c r="F33" s="458">
        <f t="shared" si="1"/>
        <v>7567</v>
      </c>
      <c r="G33" s="458">
        <f t="shared" si="1"/>
        <v>16301</v>
      </c>
      <c r="H33" s="477">
        <f t="shared" si="1"/>
        <v>13399.9</v>
      </c>
    </row>
    <row r="34" spans="1:8" ht="15" customHeight="1">
      <c r="A34" s="1847" t="s">
        <v>170</v>
      </c>
      <c r="B34" s="1848" t="s">
        <v>669</v>
      </c>
      <c r="C34" s="1849" t="s">
        <v>308</v>
      </c>
      <c r="D34" s="1850">
        <f t="shared" si="0"/>
        <v>39399.9</v>
      </c>
      <c r="E34" s="1851">
        <f t="shared" si="1"/>
        <v>2132</v>
      </c>
      <c r="F34" s="1854">
        <f t="shared" si="1"/>
        <v>7567</v>
      </c>
      <c r="G34" s="1854">
        <f t="shared" si="1"/>
        <v>16301</v>
      </c>
      <c r="H34" s="1855">
        <f t="shared" si="1"/>
        <v>13399.9</v>
      </c>
    </row>
    <row r="35" spans="1:8" ht="51">
      <c r="A35" s="67" t="s">
        <v>171</v>
      </c>
      <c r="B35" s="456" t="s">
        <v>498</v>
      </c>
      <c r="C35" s="502" t="s">
        <v>1370</v>
      </c>
      <c r="D35" s="1074">
        <f>SUM(E35:H35)</f>
        <v>39399.9</v>
      </c>
      <c r="E35" s="1096">
        <v>2132</v>
      </c>
      <c r="F35" s="409">
        <v>7567</v>
      </c>
      <c r="G35" s="409">
        <v>16301</v>
      </c>
      <c r="H35" s="410">
        <f>10343.333+56.595+3000-0.028</f>
        <v>13399.9</v>
      </c>
    </row>
    <row r="36" spans="1:8" ht="36">
      <c r="A36" s="230" t="s">
        <v>170</v>
      </c>
      <c r="B36" s="460" t="s">
        <v>125</v>
      </c>
      <c r="C36" s="503" t="s">
        <v>566</v>
      </c>
      <c r="D36" s="1077">
        <f>D37</f>
        <v>10</v>
      </c>
      <c r="E36" s="1097">
        <f>E37</f>
        <v>10</v>
      </c>
      <c r="F36" s="461">
        <f>F37</f>
        <v>0</v>
      </c>
      <c r="G36" s="461">
        <f>G37</f>
        <v>0</v>
      </c>
      <c r="H36" s="461">
        <f>G36</f>
        <v>0</v>
      </c>
    </row>
    <row r="37" spans="1:8" ht="17.25" customHeight="1">
      <c r="A37" s="1856" t="s">
        <v>170</v>
      </c>
      <c r="B37" s="470" t="s">
        <v>785</v>
      </c>
      <c r="C37" s="1849" t="s">
        <v>786</v>
      </c>
      <c r="D37" s="1850">
        <f>SUM(E37:H37)</f>
        <v>10</v>
      </c>
      <c r="E37" s="1851">
        <f>E38</f>
        <v>10</v>
      </c>
      <c r="F37" s="1854">
        <f>F38</f>
        <v>0</v>
      </c>
      <c r="G37" s="1854">
        <f>G38</f>
        <v>0</v>
      </c>
      <c r="H37" s="1854">
        <f>H38</f>
        <v>0</v>
      </c>
    </row>
    <row r="38" spans="1:8" ht="25.5">
      <c r="A38" s="66" t="s">
        <v>171</v>
      </c>
      <c r="B38" s="463" t="s">
        <v>224</v>
      </c>
      <c r="C38" s="502" t="s">
        <v>309</v>
      </c>
      <c r="D38" s="1074">
        <f>SUM(E38:H38)</f>
        <v>10</v>
      </c>
      <c r="E38" s="1098">
        <v>10</v>
      </c>
      <c r="F38" s="395">
        <v>0</v>
      </c>
      <c r="G38" s="395">
        <v>0</v>
      </c>
      <c r="H38" s="396">
        <v>0</v>
      </c>
    </row>
    <row r="39" spans="1:8" ht="15.75">
      <c r="A39" s="480"/>
      <c r="B39" s="464"/>
      <c r="C39" s="504" t="s">
        <v>479</v>
      </c>
      <c r="D39" s="1078"/>
      <c r="E39" s="1099"/>
      <c r="F39" s="465"/>
      <c r="G39" s="465"/>
      <c r="H39" s="481"/>
    </row>
    <row r="40" spans="1:8" ht="36" hidden="1">
      <c r="A40" s="476" t="s">
        <v>170</v>
      </c>
      <c r="B40" s="460" t="s">
        <v>131</v>
      </c>
      <c r="C40" s="505" t="s">
        <v>132</v>
      </c>
      <c r="D40" s="1079">
        <f>D41+D44</f>
        <v>0</v>
      </c>
      <c r="E40" s="1100">
        <f>E41+E44</f>
        <v>0</v>
      </c>
      <c r="F40" s="466">
        <f>F41+F44</f>
        <v>0</v>
      </c>
      <c r="G40" s="466">
        <f>G41+G44</f>
        <v>0</v>
      </c>
      <c r="H40" s="482">
        <f>H41+H44</f>
        <v>0</v>
      </c>
    </row>
    <row r="41" spans="1:8" ht="24" hidden="1">
      <c r="A41" s="479" t="s">
        <v>631</v>
      </c>
      <c r="B41" s="462" t="s">
        <v>133</v>
      </c>
      <c r="C41" s="506" t="s">
        <v>134</v>
      </c>
      <c r="D41" s="1080">
        <f>D43</f>
        <v>0</v>
      </c>
      <c r="E41" s="1101">
        <f>E43</f>
        <v>0</v>
      </c>
      <c r="F41" s="401">
        <f>F43</f>
        <v>0</v>
      </c>
      <c r="G41" s="401">
        <f>G43</f>
        <v>0</v>
      </c>
      <c r="H41" s="402">
        <f>H43</f>
        <v>0</v>
      </c>
    </row>
    <row r="42" spans="1:8" ht="89.25" hidden="1">
      <c r="A42" s="66" t="s">
        <v>631</v>
      </c>
      <c r="B42" s="463" t="s">
        <v>212</v>
      </c>
      <c r="C42" s="507" t="s">
        <v>690</v>
      </c>
      <c r="D42" s="1081">
        <f>D43</f>
        <v>0</v>
      </c>
      <c r="E42" s="1102">
        <f>E43</f>
        <v>0</v>
      </c>
      <c r="F42" s="397">
        <f>F43</f>
        <v>0</v>
      </c>
      <c r="G42" s="397">
        <f>G43</f>
        <v>0</v>
      </c>
      <c r="H42" s="398">
        <f>H43</f>
        <v>0</v>
      </c>
    </row>
    <row r="43" spans="1:8" ht="60" hidden="1">
      <c r="A43" s="66" t="s">
        <v>631</v>
      </c>
      <c r="B43" s="467" t="s">
        <v>135</v>
      </c>
      <c r="C43" s="508" t="s">
        <v>385</v>
      </c>
      <c r="D43" s="1082">
        <f>SUM(E43:H43)</f>
        <v>0</v>
      </c>
      <c r="E43" s="1103">
        <v>0</v>
      </c>
      <c r="F43" s="399">
        <v>0</v>
      </c>
      <c r="G43" s="399">
        <v>0</v>
      </c>
      <c r="H43" s="400">
        <v>0</v>
      </c>
    </row>
    <row r="44" spans="1:8" ht="24" hidden="1">
      <c r="A44" s="479" t="s">
        <v>631</v>
      </c>
      <c r="B44" s="462" t="s">
        <v>136</v>
      </c>
      <c r="C44" s="509" t="s">
        <v>137</v>
      </c>
      <c r="D44" s="1080">
        <f aca="true" t="shared" si="2" ref="D44:H45">D45</f>
        <v>0</v>
      </c>
      <c r="E44" s="1101">
        <f t="shared" si="2"/>
        <v>0</v>
      </c>
      <c r="F44" s="401">
        <f t="shared" si="2"/>
        <v>0</v>
      </c>
      <c r="G44" s="401">
        <f t="shared" si="2"/>
        <v>0</v>
      </c>
      <c r="H44" s="402">
        <f t="shared" si="2"/>
        <v>0</v>
      </c>
    </row>
    <row r="45" spans="1:8" ht="38.25" hidden="1">
      <c r="A45" s="66" t="s">
        <v>631</v>
      </c>
      <c r="B45" s="463" t="s">
        <v>138</v>
      </c>
      <c r="C45" s="507" t="s">
        <v>139</v>
      </c>
      <c r="D45" s="1081">
        <f t="shared" si="2"/>
        <v>0</v>
      </c>
      <c r="E45" s="1102">
        <f t="shared" si="2"/>
        <v>0</v>
      </c>
      <c r="F45" s="397">
        <f t="shared" si="2"/>
        <v>0</v>
      </c>
      <c r="G45" s="397">
        <f t="shared" si="2"/>
        <v>0</v>
      </c>
      <c r="H45" s="398">
        <f t="shared" si="2"/>
        <v>0</v>
      </c>
    </row>
    <row r="46" spans="1:8" ht="60" hidden="1">
      <c r="A46" s="90" t="s">
        <v>631</v>
      </c>
      <c r="B46" s="467" t="s">
        <v>140</v>
      </c>
      <c r="C46" s="508" t="s">
        <v>386</v>
      </c>
      <c r="D46" s="1082">
        <f>SUM(E46:H46)</f>
        <v>0</v>
      </c>
      <c r="E46" s="1103">
        <v>0</v>
      </c>
      <c r="F46" s="399">
        <v>0</v>
      </c>
      <c r="G46" s="399">
        <v>0</v>
      </c>
      <c r="H46" s="400">
        <v>0</v>
      </c>
    </row>
    <row r="47" spans="1:8" ht="28.5">
      <c r="A47" s="476" t="s">
        <v>170</v>
      </c>
      <c r="B47" s="460" t="s">
        <v>852</v>
      </c>
      <c r="C47" s="505" t="s">
        <v>979</v>
      </c>
      <c r="D47" s="1079">
        <f aca="true" t="shared" si="3" ref="D47:H48">D48</f>
        <v>900</v>
      </c>
      <c r="E47" s="1100">
        <f t="shared" si="3"/>
        <v>0</v>
      </c>
      <c r="F47" s="466">
        <f t="shared" si="3"/>
        <v>230</v>
      </c>
      <c r="G47" s="466">
        <f t="shared" si="3"/>
        <v>600</v>
      </c>
      <c r="H47" s="482">
        <f t="shared" si="3"/>
        <v>70</v>
      </c>
    </row>
    <row r="48" spans="1:8" ht="12.75">
      <c r="A48" s="479" t="s">
        <v>170</v>
      </c>
      <c r="B48" s="462" t="s">
        <v>1000</v>
      </c>
      <c r="C48" s="509" t="s">
        <v>1071</v>
      </c>
      <c r="D48" s="1080">
        <f>SUM(E48:H48)</f>
        <v>900</v>
      </c>
      <c r="E48" s="1101">
        <f>E49</f>
        <v>0</v>
      </c>
      <c r="F48" s="1101">
        <f t="shared" si="3"/>
        <v>230</v>
      </c>
      <c r="G48" s="1101">
        <f t="shared" si="3"/>
        <v>600</v>
      </c>
      <c r="H48" s="1101">
        <f t="shared" si="3"/>
        <v>70</v>
      </c>
    </row>
    <row r="49" spans="1:8" ht="12.75">
      <c r="A49" s="479" t="s">
        <v>920</v>
      </c>
      <c r="B49" s="76" t="s">
        <v>1072</v>
      </c>
      <c r="C49" s="1070" t="s">
        <v>1073</v>
      </c>
      <c r="D49" s="1080">
        <f>SUM(E49:H49)</f>
        <v>900</v>
      </c>
      <c r="E49" s="1101">
        <f>E50</f>
        <v>0</v>
      </c>
      <c r="F49" s="1101">
        <f>F50</f>
        <v>230</v>
      </c>
      <c r="G49" s="1101">
        <f>G50</f>
        <v>600</v>
      </c>
      <c r="H49" s="1101">
        <f>H50</f>
        <v>70</v>
      </c>
    </row>
    <row r="50" spans="1:8" ht="38.25">
      <c r="A50" s="66" t="s">
        <v>920</v>
      </c>
      <c r="B50" s="463" t="s">
        <v>1001</v>
      </c>
      <c r="C50" s="507" t="s">
        <v>1371</v>
      </c>
      <c r="D50" s="1081">
        <f>SUM(D51:D52)</f>
        <v>900</v>
      </c>
      <c r="E50" s="1102">
        <f>SUM(E51:E52)</f>
        <v>0</v>
      </c>
      <c r="F50" s="397">
        <f>SUM(F51:F52)</f>
        <v>230</v>
      </c>
      <c r="G50" s="397">
        <f>SUM(G51:G52)</f>
        <v>600</v>
      </c>
      <c r="H50" s="398">
        <f>SUM(H51:H52)</f>
        <v>70</v>
      </c>
    </row>
    <row r="51" spans="1:8" ht="60">
      <c r="A51" s="90" t="s">
        <v>920</v>
      </c>
      <c r="B51" s="467" t="s">
        <v>1002</v>
      </c>
      <c r="C51" s="510" t="s">
        <v>567</v>
      </c>
      <c r="D51" s="1083">
        <f>SUM(E51:H51)</f>
        <v>900</v>
      </c>
      <c r="E51" s="1104">
        <v>0</v>
      </c>
      <c r="F51" s="403">
        <v>230</v>
      </c>
      <c r="G51" s="403">
        <v>600</v>
      </c>
      <c r="H51" s="404">
        <v>70</v>
      </c>
    </row>
    <row r="52" spans="1:8" ht="48" hidden="1">
      <c r="A52" s="90" t="s">
        <v>170</v>
      </c>
      <c r="B52" s="467" t="s">
        <v>700</v>
      </c>
      <c r="C52" s="510" t="s">
        <v>699</v>
      </c>
      <c r="D52" s="1082">
        <f>SUM(E52:H52)</f>
        <v>0</v>
      </c>
      <c r="E52" s="1103">
        <v>0</v>
      </c>
      <c r="F52" s="399">
        <v>0</v>
      </c>
      <c r="G52" s="399">
        <v>0</v>
      </c>
      <c r="H52" s="400">
        <v>0</v>
      </c>
    </row>
    <row r="53" spans="1:8" ht="28.5" hidden="1">
      <c r="A53" s="476" t="s">
        <v>170</v>
      </c>
      <c r="B53" s="460" t="s">
        <v>126</v>
      </c>
      <c r="C53" s="505" t="s">
        <v>127</v>
      </c>
      <c r="D53" s="1079">
        <f>D54+D57</f>
        <v>0</v>
      </c>
      <c r="E53" s="1100">
        <f>E54</f>
        <v>0</v>
      </c>
      <c r="F53" s="466">
        <f>F54</f>
        <v>0</v>
      </c>
      <c r="G53" s="466">
        <f>G54</f>
        <v>0</v>
      </c>
      <c r="H53" s="482">
        <f>H54</f>
        <v>0</v>
      </c>
    </row>
    <row r="54" spans="1:8" ht="60" hidden="1">
      <c r="A54" s="479" t="s">
        <v>631</v>
      </c>
      <c r="B54" s="462" t="s">
        <v>128</v>
      </c>
      <c r="C54" s="509" t="s">
        <v>330</v>
      </c>
      <c r="D54" s="1080">
        <f>SUM(D55:D56)</f>
        <v>0</v>
      </c>
      <c r="E54" s="1101">
        <f>SUM(E55:E56)</f>
        <v>0</v>
      </c>
      <c r="F54" s="401">
        <f>SUM(F55:F56)</f>
        <v>0</v>
      </c>
      <c r="G54" s="401">
        <f>SUM(G55:G56)</f>
        <v>0</v>
      </c>
      <c r="H54" s="402">
        <f>SUM(H55:H56)</f>
        <v>0</v>
      </c>
    </row>
    <row r="55" spans="1:8" ht="102" hidden="1">
      <c r="A55" s="66" t="s">
        <v>631</v>
      </c>
      <c r="B55" s="463" t="s">
        <v>129</v>
      </c>
      <c r="C55" s="507" t="s">
        <v>689</v>
      </c>
      <c r="D55" s="1081">
        <f>SUM(E55:H55)</f>
        <v>0</v>
      </c>
      <c r="E55" s="1105">
        <v>0</v>
      </c>
      <c r="F55" s="405">
        <v>0</v>
      </c>
      <c r="G55" s="405">
        <v>0</v>
      </c>
      <c r="H55" s="406">
        <v>0</v>
      </c>
    </row>
    <row r="56" spans="1:8" ht="102" hidden="1">
      <c r="A56" s="66" t="s">
        <v>631</v>
      </c>
      <c r="B56" s="463" t="s">
        <v>130</v>
      </c>
      <c r="C56" s="507" t="s">
        <v>370</v>
      </c>
      <c r="D56" s="1081">
        <f>SUM(E56:H56)</f>
        <v>0</v>
      </c>
      <c r="E56" s="1105">
        <v>0</v>
      </c>
      <c r="F56" s="405">
        <v>0</v>
      </c>
      <c r="G56" s="405">
        <v>0</v>
      </c>
      <c r="H56" s="406">
        <v>0</v>
      </c>
    </row>
    <row r="57" spans="1:8" ht="12.75" hidden="1">
      <c r="A57" s="479" t="s">
        <v>631</v>
      </c>
      <c r="B57" s="462" t="s">
        <v>237</v>
      </c>
      <c r="C57" s="509" t="s">
        <v>238</v>
      </c>
      <c r="D57" s="1082">
        <f>D58</f>
        <v>0</v>
      </c>
      <c r="E57" s="1104">
        <f>E58</f>
        <v>0</v>
      </c>
      <c r="F57" s="403">
        <f>F58</f>
        <v>0</v>
      </c>
      <c r="G57" s="403">
        <f>G58</f>
        <v>0</v>
      </c>
      <c r="H57" s="404">
        <f>H58</f>
        <v>0</v>
      </c>
    </row>
    <row r="58" spans="1:8" ht="51" hidden="1">
      <c r="A58" s="66" t="s">
        <v>631</v>
      </c>
      <c r="B58" s="463" t="s">
        <v>239</v>
      </c>
      <c r="C58" s="507" t="s">
        <v>331</v>
      </c>
      <c r="D58" s="1081">
        <f>SUM(E58:H58)</f>
        <v>0</v>
      </c>
      <c r="E58" s="1105">
        <v>0</v>
      </c>
      <c r="F58" s="405">
        <v>0</v>
      </c>
      <c r="G58" s="405">
        <v>0</v>
      </c>
      <c r="H58" s="406">
        <v>0</v>
      </c>
    </row>
    <row r="59" spans="1:8" ht="15.75" customHeight="1">
      <c r="A59" s="476" t="s">
        <v>170</v>
      </c>
      <c r="B59" s="460" t="s">
        <v>659</v>
      </c>
      <c r="C59" s="511" t="s">
        <v>310</v>
      </c>
      <c r="D59" s="1076">
        <f aca="true" t="shared" si="4" ref="D59:D74">SUM(E59:H59)</f>
        <v>1726.8</v>
      </c>
      <c r="E59" s="1095">
        <f>E60+E61+E63+E65+E67</f>
        <v>473</v>
      </c>
      <c r="F59" s="458">
        <f>F60+F61+F63+F65+F67</f>
        <v>462.8</v>
      </c>
      <c r="G59" s="458">
        <f>G60+G61+G63+G65+G67</f>
        <v>428</v>
      </c>
      <c r="H59" s="477">
        <f>H60+H61+H63+H65+H67</f>
        <v>363</v>
      </c>
    </row>
    <row r="60" spans="1:8" ht="52.5" customHeight="1">
      <c r="A60" s="73" t="s">
        <v>171</v>
      </c>
      <c r="B60" s="459" t="s">
        <v>660</v>
      </c>
      <c r="C60" s="512" t="s">
        <v>983</v>
      </c>
      <c r="D60" s="1073">
        <f t="shared" si="4"/>
        <v>277</v>
      </c>
      <c r="E60" s="1941">
        <v>113</v>
      </c>
      <c r="F60" s="1942">
        <v>86</v>
      </c>
      <c r="G60" s="1942">
        <v>70</v>
      </c>
      <c r="H60" s="1943">
        <v>8</v>
      </c>
    </row>
    <row r="61" spans="1:8" ht="24" hidden="1">
      <c r="A61" s="73" t="s">
        <v>170</v>
      </c>
      <c r="B61" s="459" t="s">
        <v>228</v>
      </c>
      <c r="C61" s="512" t="s">
        <v>229</v>
      </c>
      <c r="D61" s="1073">
        <f t="shared" si="4"/>
        <v>0</v>
      </c>
      <c r="E61" s="1090">
        <f>E62</f>
        <v>0</v>
      </c>
      <c r="F61" s="407">
        <f>F62</f>
        <v>0</v>
      </c>
      <c r="G61" s="407">
        <f>G62</f>
        <v>0</v>
      </c>
      <c r="H61" s="408">
        <f>H62</f>
        <v>0</v>
      </c>
    </row>
    <row r="62" spans="1:8" ht="51" hidden="1">
      <c r="A62" s="1944" t="s">
        <v>170</v>
      </c>
      <c r="B62" s="1848" t="s">
        <v>230</v>
      </c>
      <c r="C62" s="1857" t="s">
        <v>332</v>
      </c>
      <c r="D62" s="1850">
        <f t="shared" si="4"/>
        <v>0</v>
      </c>
      <c r="E62" s="1858">
        <v>0</v>
      </c>
      <c r="F62" s="1859">
        <v>0</v>
      </c>
      <c r="G62" s="1859">
        <v>0</v>
      </c>
      <c r="H62" s="1945">
        <v>0</v>
      </c>
    </row>
    <row r="63" spans="1:8" ht="38.25">
      <c r="A63" s="1847" t="s">
        <v>170</v>
      </c>
      <c r="B63" s="1848" t="s">
        <v>231</v>
      </c>
      <c r="C63" s="1857" t="s">
        <v>232</v>
      </c>
      <c r="D63" s="1850">
        <f>SUM(E63:H63)</f>
        <v>1</v>
      </c>
      <c r="E63" s="1858">
        <f>E64</f>
        <v>0</v>
      </c>
      <c r="F63" s="1859">
        <f>F64</f>
        <v>0</v>
      </c>
      <c r="G63" s="1859">
        <f>G64</f>
        <v>1</v>
      </c>
      <c r="H63" s="1859">
        <f>H64</f>
        <v>0</v>
      </c>
    </row>
    <row r="64" spans="1:8" ht="53.25" customHeight="1">
      <c r="A64" s="2262" t="s">
        <v>1074</v>
      </c>
      <c r="B64" s="2263" t="s">
        <v>333</v>
      </c>
      <c r="C64" s="2269" t="s">
        <v>1372</v>
      </c>
      <c r="D64" s="2265">
        <f>SUM(E64:H64)</f>
        <v>1</v>
      </c>
      <c r="E64" s="2266">
        <v>0</v>
      </c>
      <c r="F64" s="2267">
        <v>0</v>
      </c>
      <c r="G64" s="2267">
        <v>1</v>
      </c>
      <c r="H64" s="2268">
        <v>0</v>
      </c>
    </row>
    <row r="65" spans="1:8" ht="42" customHeight="1">
      <c r="A65" s="1946" t="s">
        <v>170</v>
      </c>
      <c r="B65" s="1848" t="s">
        <v>1276</v>
      </c>
      <c r="C65" s="1947" t="s">
        <v>1277</v>
      </c>
      <c r="D65" s="1073">
        <f t="shared" si="4"/>
        <v>1</v>
      </c>
      <c r="E65" s="1090">
        <f>E66</f>
        <v>0</v>
      </c>
      <c r="F65" s="407">
        <f>F66</f>
        <v>0</v>
      </c>
      <c r="G65" s="407">
        <f>G66</f>
        <v>0</v>
      </c>
      <c r="H65" s="408">
        <f>H66</f>
        <v>1</v>
      </c>
    </row>
    <row r="66" spans="1:8" ht="67.5" customHeight="1">
      <c r="A66" s="2262" t="s">
        <v>631</v>
      </c>
      <c r="B66" s="2263" t="s">
        <v>1184</v>
      </c>
      <c r="C66" s="2264" t="s">
        <v>1380</v>
      </c>
      <c r="D66" s="2265">
        <f t="shared" si="4"/>
        <v>1</v>
      </c>
      <c r="E66" s="2266">
        <v>0</v>
      </c>
      <c r="F66" s="2267">
        <v>0</v>
      </c>
      <c r="G66" s="2267">
        <v>0</v>
      </c>
      <c r="H66" s="2268">
        <v>1</v>
      </c>
    </row>
    <row r="67" spans="1:8" ht="30.75" customHeight="1">
      <c r="A67" s="1847" t="s">
        <v>170</v>
      </c>
      <c r="B67" s="1848" t="s">
        <v>233</v>
      </c>
      <c r="C67" s="1857" t="s">
        <v>313</v>
      </c>
      <c r="D67" s="1850">
        <f t="shared" si="4"/>
        <v>1447.8</v>
      </c>
      <c r="E67" s="1860">
        <f>E68</f>
        <v>360</v>
      </c>
      <c r="F67" s="1861">
        <f>F68</f>
        <v>376.8</v>
      </c>
      <c r="G67" s="1861">
        <f>G68</f>
        <v>357</v>
      </c>
      <c r="H67" s="1862">
        <f>H68</f>
        <v>354</v>
      </c>
    </row>
    <row r="68" spans="1:8" ht="54">
      <c r="A68" s="844" t="s">
        <v>170</v>
      </c>
      <c r="B68" s="845" t="s">
        <v>367</v>
      </c>
      <c r="C68" s="518" t="s">
        <v>1373</v>
      </c>
      <c r="D68" s="1074">
        <f>SUM(D69:D74)</f>
        <v>1447.8</v>
      </c>
      <c r="E68" s="539">
        <f>SUM(E69:E74)</f>
        <v>360</v>
      </c>
      <c r="F68" s="539">
        <f>SUM(F69:F74)</f>
        <v>376.8</v>
      </c>
      <c r="G68" s="539">
        <f>SUM(G69:G74)</f>
        <v>357</v>
      </c>
      <c r="H68" s="539">
        <f>SUM(H69:H74)</f>
        <v>354</v>
      </c>
    </row>
    <row r="69" spans="1:9" ht="48">
      <c r="A69" s="106" t="s">
        <v>15</v>
      </c>
      <c r="B69" s="468" t="s">
        <v>339</v>
      </c>
      <c r="C69" s="514" t="s">
        <v>984</v>
      </c>
      <c r="D69" s="1085">
        <f t="shared" si="4"/>
        <v>1100</v>
      </c>
      <c r="E69" s="1093">
        <v>275</v>
      </c>
      <c r="F69" s="414">
        <v>275</v>
      </c>
      <c r="G69" s="414">
        <v>275</v>
      </c>
      <c r="H69" s="415">
        <v>275</v>
      </c>
      <c r="I69" s="913"/>
    </row>
    <row r="70" spans="1:9" ht="48">
      <c r="A70" s="106" t="s">
        <v>71</v>
      </c>
      <c r="B70" s="468" t="s">
        <v>339</v>
      </c>
      <c r="C70" s="514" t="s">
        <v>984</v>
      </c>
      <c r="D70" s="1085">
        <f t="shared" si="4"/>
        <v>84</v>
      </c>
      <c r="E70" s="1093">
        <v>24</v>
      </c>
      <c r="F70" s="414">
        <v>20</v>
      </c>
      <c r="G70" s="414">
        <v>20</v>
      </c>
      <c r="H70" s="415">
        <v>20</v>
      </c>
      <c r="I70" s="913"/>
    </row>
    <row r="71" spans="1:8" ht="48">
      <c r="A71" s="106" t="s">
        <v>72</v>
      </c>
      <c r="B71" s="468" t="s">
        <v>339</v>
      </c>
      <c r="C71" s="514" t="s">
        <v>984</v>
      </c>
      <c r="D71" s="1085">
        <f t="shared" si="4"/>
        <v>10</v>
      </c>
      <c r="E71" s="1093">
        <v>0</v>
      </c>
      <c r="F71" s="414">
        <v>10</v>
      </c>
      <c r="G71" s="414">
        <v>0</v>
      </c>
      <c r="H71" s="415">
        <v>0</v>
      </c>
    </row>
    <row r="72" spans="1:8" ht="48">
      <c r="A72" s="106" t="s">
        <v>73</v>
      </c>
      <c r="B72" s="468" t="s">
        <v>339</v>
      </c>
      <c r="C72" s="514" t="s">
        <v>984</v>
      </c>
      <c r="D72" s="1085">
        <f t="shared" si="4"/>
        <v>1</v>
      </c>
      <c r="E72" s="1093">
        <v>0</v>
      </c>
      <c r="F72" s="414">
        <v>1</v>
      </c>
      <c r="G72" s="414">
        <v>0</v>
      </c>
      <c r="H72" s="415">
        <v>0</v>
      </c>
    </row>
    <row r="73" spans="1:9" ht="48">
      <c r="A73" s="106" t="s">
        <v>883</v>
      </c>
      <c r="B73" s="468" t="s">
        <v>339</v>
      </c>
      <c r="C73" s="514" t="s">
        <v>984</v>
      </c>
      <c r="D73" s="1085">
        <f>SUM(E73:H73)</f>
        <v>216</v>
      </c>
      <c r="E73" s="1093">
        <v>54</v>
      </c>
      <c r="F73" s="414">
        <v>54</v>
      </c>
      <c r="G73" s="414">
        <v>54</v>
      </c>
      <c r="H73" s="415">
        <v>54</v>
      </c>
      <c r="I73" s="913"/>
    </row>
    <row r="74" spans="1:9" ht="51" customHeight="1">
      <c r="A74" s="106" t="s">
        <v>883</v>
      </c>
      <c r="B74" s="468" t="s">
        <v>341</v>
      </c>
      <c r="C74" s="514" t="s">
        <v>982</v>
      </c>
      <c r="D74" s="1085">
        <f t="shared" si="4"/>
        <v>36.8</v>
      </c>
      <c r="E74" s="1093">
        <v>7</v>
      </c>
      <c r="F74" s="414">
        <v>16.8</v>
      </c>
      <c r="G74" s="414">
        <v>8</v>
      </c>
      <c r="H74" s="415">
        <v>5</v>
      </c>
      <c r="I74" s="913"/>
    </row>
    <row r="75" spans="1:8" ht="28.5" hidden="1">
      <c r="A75" s="476" t="s">
        <v>170</v>
      </c>
      <c r="B75" s="460" t="s">
        <v>867</v>
      </c>
      <c r="C75" s="505" t="s">
        <v>868</v>
      </c>
      <c r="D75" s="1077">
        <f>D78</f>
        <v>0</v>
      </c>
      <c r="E75" s="1097">
        <f>E78</f>
        <v>0</v>
      </c>
      <c r="F75" s="461">
        <f>F78</f>
        <v>0</v>
      </c>
      <c r="G75" s="461">
        <f>G78</f>
        <v>0</v>
      </c>
      <c r="H75" s="478">
        <f>H78</f>
        <v>0</v>
      </c>
    </row>
    <row r="76" spans="1:8" ht="12.75" hidden="1">
      <c r="A76" s="479" t="s">
        <v>631</v>
      </c>
      <c r="B76" s="462" t="s">
        <v>684</v>
      </c>
      <c r="C76" s="509" t="s">
        <v>685</v>
      </c>
      <c r="D76" s="1080">
        <f>D77</f>
        <v>0</v>
      </c>
      <c r="E76" s="1101">
        <f>E77</f>
        <v>0</v>
      </c>
      <c r="F76" s="401">
        <f>F77</f>
        <v>0</v>
      </c>
      <c r="G76" s="401">
        <f>G77</f>
        <v>0</v>
      </c>
      <c r="H76" s="402">
        <f>H77</f>
        <v>0</v>
      </c>
    </row>
    <row r="77" spans="1:8" ht="38.25" hidden="1">
      <c r="A77" s="66" t="s">
        <v>631</v>
      </c>
      <c r="B77" s="463" t="s">
        <v>686</v>
      </c>
      <c r="C77" s="507" t="s">
        <v>717</v>
      </c>
      <c r="D77" s="1081">
        <f>SUM(E77:H77)</f>
        <v>0</v>
      </c>
      <c r="E77" s="1102">
        <v>0</v>
      </c>
      <c r="F77" s="397">
        <v>0</v>
      </c>
      <c r="G77" s="397">
        <v>0</v>
      </c>
      <c r="H77" s="398">
        <v>0</v>
      </c>
    </row>
    <row r="78" spans="1:8" ht="12.75" hidden="1">
      <c r="A78" s="73" t="s">
        <v>170</v>
      </c>
      <c r="B78" s="459" t="s">
        <v>865</v>
      </c>
      <c r="C78" s="512" t="s">
        <v>866</v>
      </c>
      <c r="D78" s="1073">
        <f>SUM(E78:H78)</f>
        <v>0</v>
      </c>
      <c r="E78" s="1106">
        <f>E80</f>
        <v>0</v>
      </c>
      <c r="F78" s="411">
        <f>F80</f>
        <v>0</v>
      </c>
      <c r="G78" s="411">
        <f>G80</f>
        <v>0</v>
      </c>
      <c r="H78" s="412">
        <f>H80</f>
        <v>0</v>
      </c>
    </row>
    <row r="79" spans="1:8" ht="38.25" hidden="1">
      <c r="A79" s="67" t="s">
        <v>631</v>
      </c>
      <c r="B79" s="456" t="s">
        <v>369</v>
      </c>
      <c r="C79" s="513" t="s">
        <v>372</v>
      </c>
      <c r="D79" s="1084">
        <f>D80</f>
        <v>0</v>
      </c>
      <c r="E79" s="1107">
        <f>E80</f>
        <v>0</v>
      </c>
      <c r="F79" s="413">
        <f>F80</f>
        <v>0</v>
      </c>
      <c r="G79" s="413">
        <f>G80</f>
        <v>0</v>
      </c>
      <c r="H79" s="416">
        <f>H80</f>
        <v>0</v>
      </c>
    </row>
    <row r="80" spans="1:8" ht="24" hidden="1">
      <c r="A80" s="67" t="s">
        <v>631</v>
      </c>
      <c r="B80" s="468" t="s">
        <v>670</v>
      </c>
      <c r="C80" s="514" t="s">
        <v>373</v>
      </c>
      <c r="D80" s="1086">
        <f>SUM(E80:H80)</f>
        <v>0</v>
      </c>
      <c r="E80" s="1093">
        <v>0</v>
      </c>
      <c r="F80" s="414">
        <v>0</v>
      </c>
      <c r="G80" s="414">
        <v>0</v>
      </c>
      <c r="H80" s="415">
        <v>0</v>
      </c>
    </row>
    <row r="81" spans="1:8" ht="36" hidden="1">
      <c r="A81" s="483" t="s">
        <v>170</v>
      </c>
      <c r="B81" s="460" t="s">
        <v>850</v>
      </c>
      <c r="C81" s="505" t="s">
        <v>363</v>
      </c>
      <c r="D81" s="1077">
        <f aca="true" t="shared" si="5" ref="D81:H82">D82</f>
        <v>0</v>
      </c>
      <c r="E81" s="1097">
        <f t="shared" si="5"/>
        <v>0</v>
      </c>
      <c r="F81" s="461">
        <f t="shared" si="5"/>
        <v>0</v>
      </c>
      <c r="G81" s="461">
        <f t="shared" si="5"/>
        <v>0</v>
      </c>
      <c r="H81" s="478">
        <f t="shared" si="5"/>
        <v>0</v>
      </c>
    </row>
    <row r="82" spans="1:8" ht="36" hidden="1">
      <c r="A82" s="484" t="s">
        <v>631</v>
      </c>
      <c r="B82" s="459" t="s">
        <v>364</v>
      </c>
      <c r="C82" s="512" t="s">
        <v>365</v>
      </c>
      <c r="D82" s="1073">
        <f>D83</f>
        <v>0</v>
      </c>
      <c r="E82" s="1106">
        <f t="shared" si="5"/>
        <v>0</v>
      </c>
      <c r="F82" s="411">
        <f t="shared" si="5"/>
        <v>0</v>
      </c>
      <c r="G82" s="411">
        <f t="shared" si="5"/>
        <v>0</v>
      </c>
      <c r="H82" s="412">
        <f t="shared" si="5"/>
        <v>0</v>
      </c>
    </row>
    <row r="83" spans="1:8" ht="51" hidden="1">
      <c r="A83" s="18" t="s">
        <v>631</v>
      </c>
      <c r="B83" s="456" t="s">
        <v>526</v>
      </c>
      <c r="C83" s="513" t="s">
        <v>366</v>
      </c>
      <c r="D83" s="1084">
        <f>SUM(E83:H83)</f>
        <v>0</v>
      </c>
      <c r="E83" s="1098">
        <v>0</v>
      </c>
      <c r="F83" s="395">
        <v>0</v>
      </c>
      <c r="G83" s="395">
        <v>0</v>
      </c>
      <c r="H83" s="396">
        <v>0</v>
      </c>
    </row>
    <row r="84" spans="1:8" ht="37.5">
      <c r="A84" s="485" t="s">
        <v>170</v>
      </c>
      <c r="B84" s="469" t="s">
        <v>661</v>
      </c>
      <c r="C84" s="515" t="s">
        <v>314</v>
      </c>
      <c r="D84" s="1182">
        <f>D85</f>
        <v>16288.300000000001</v>
      </c>
      <c r="E84" s="1183">
        <f>E85</f>
        <v>4032.8680000000004</v>
      </c>
      <c r="F84" s="1184">
        <f>F85</f>
        <v>4189.668</v>
      </c>
      <c r="G84" s="1184">
        <f>G85</f>
        <v>4032.8680000000004</v>
      </c>
      <c r="H84" s="1185">
        <f>H85</f>
        <v>4032.896</v>
      </c>
    </row>
    <row r="85" spans="1:8" ht="28.5">
      <c r="A85" s="483" t="s">
        <v>168</v>
      </c>
      <c r="B85" s="460" t="s">
        <v>662</v>
      </c>
      <c r="C85" s="505" t="s">
        <v>374</v>
      </c>
      <c r="D85" s="1079">
        <f>D86+D89</f>
        <v>16288.300000000001</v>
      </c>
      <c r="E85" s="422">
        <f>E86+E89</f>
        <v>4032.8680000000004</v>
      </c>
      <c r="F85" s="422">
        <f>F86+F89</f>
        <v>4189.668</v>
      </c>
      <c r="G85" s="422">
        <f>G86+G89</f>
        <v>4032.8680000000004</v>
      </c>
      <c r="H85" s="422">
        <f>H86+H89</f>
        <v>4032.896</v>
      </c>
    </row>
    <row r="86" spans="1:8" ht="25.5" hidden="1">
      <c r="A86" s="248" t="s">
        <v>170</v>
      </c>
      <c r="B86" s="470" t="s">
        <v>400</v>
      </c>
      <c r="C86" s="516" t="s">
        <v>401</v>
      </c>
      <c r="D86" s="1087">
        <f aca="true" t="shared" si="6" ref="D86:H87">D87</f>
        <v>0</v>
      </c>
      <c r="E86" s="1108">
        <f t="shared" si="6"/>
        <v>0</v>
      </c>
      <c r="F86" s="417">
        <f t="shared" si="6"/>
        <v>0</v>
      </c>
      <c r="G86" s="417">
        <f t="shared" si="6"/>
        <v>0</v>
      </c>
      <c r="H86" s="418">
        <f t="shared" si="6"/>
        <v>0</v>
      </c>
    </row>
    <row r="87" spans="1:8" ht="13.5" hidden="1">
      <c r="A87" s="232" t="s">
        <v>170</v>
      </c>
      <c r="B87" s="471" t="s">
        <v>396</v>
      </c>
      <c r="C87" s="517" t="s">
        <v>397</v>
      </c>
      <c r="D87" s="1080">
        <f t="shared" si="6"/>
        <v>0</v>
      </c>
      <c r="E87" s="1101">
        <f t="shared" si="6"/>
        <v>0</v>
      </c>
      <c r="F87" s="401">
        <f t="shared" si="6"/>
        <v>0</v>
      </c>
      <c r="G87" s="401">
        <f t="shared" si="6"/>
        <v>0</v>
      </c>
      <c r="H87" s="402">
        <f t="shared" si="6"/>
        <v>0</v>
      </c>
    </row>
    <row r="88" spans="1:8" ht="36" hidden="1">
      <c r="A88" s="229" t="s">
        <v>631</v>
      </c>
      <c r="B88" s="456" t="s">
        <v>398</v>
      </c>
      <c r="C88" s="514" t="s">
        <v>399</v>
      </c>
      <c r="D88" s="1088">
        <f>SUM(E88:H88)</f>
        <v>0</v>
      </c>
      <c r="E88" s="1109">
        <v>0</v>
      </c>
      <c r="F88" s="420">
        <v>0</v>
      </c>
      <c r="G88" s="420">
        <v>0</v>
      </c>
      <c r="H88" s="421">
        <v>0</v>
      </c>
    </row>
    <row r="89" spans="1:8" ht="25.5">
      <c r="A89" s="230" t="s">
        <v>170</v>
      </c>
      <c r="B89" s="472" t="s">
        <v>375</v>
      </c>
      <c r="C89" s="511" t="s">
        <v>376</v>
      </c>
      <c r="D89" s="1079">
        <f>D90+D94</f>
        <v>16288.300000000001</v>
      </c>
      <c r="E89" s="422">
        <f>E90+E94</f>
        <v>4032.8680000000004</v>
      </c>
      <c r="F89" s="422">
        <f>F90+F94</f>
        <v>4189.668</v>
      </c>
      <c r="G89" s="422">
        <f>G90+G94</f>
        <v>4032.8680000000004</v>
      </c>
      <c r="H89" s="422">
        <f>H90+H94</f>
        <v>4032.896</v>
      </c>
    </row>
    <row r="90" spans="1:8" ht="28.5" customHeight="1">
      <c r="A90" s="232" t="s">
        <v>170</v>
      </c>
      <c r="B90" s="473" t="s">
        <v>377</v>
      </c>
      <c r="C90" s="518" t="s">
        <v>569</v>
      </c>
      <c r="D90" s="1863">
        <f>D91</f>
        <v>4520.700000000001</v>
      </c>
      <c r="E90" s="1864">
        <f>SUM(E92:E93)</f>
        <v>1090.968</v>
      </c>
      <c r="F90" s="1864">
        <f>SUM(F92:F93)</f>
        <v>1247.7679999999998</v>
      </c>
      <c r="G90" s="1864">
        <f>SUM(G92:G93)</f>
        <v>1090.968</v>
      </c>
      <c r="H90" s="1864">
        <f>SUM(H92:H93)</f>
        <v>1090.996</v>
      </c>
    </row>
    <row r="91" spans="1:8" ht="56.25" customHeight="1">
      <c r="A91" s="906" t="s">
        <v>170</v>
      </c>
      <c r="B91" s="473" t="s">
        <v>562</v>
      </c>
      <c r="C91" s="518" t="s">
        <v>1374</v>
      </c>
      <c r="D91" s="1863">
        <f>SUM(D92:D93)</f>
        <v>4520.700000000001</v>
      </c>
      <c r="E91" s="1865">
        <f>SUM(E92:E93)</f>
        <v>1090.968</v>
      </c>
      <c r="F91" s="1866">
        <f>SUM(F92:F93)</f>
        <v>1247.7679999999998</v>
      </c>
      <c r="G91" s="1866">
        <f>SUM(G92:G93)</f>
        <v>1090.968</v>
      </c>
      <c r="H91" s="1867">
        <f>SUM(H92:H93)</f>
        <v>1090.996</v>
      </c>
    </row>
    <row r="92" spans="1:9" ht="63.75">
      <c r="A92" s="18" t="s">
        <v>631</v>
      </c>
      <c r="B92" s="474" t="s">
        <v>885</v>
      </c>
      <c r="C92" s="513" t="s">
        <v>50</v>
      </c>
      <c r="D92" s="1719">
        <f>SUM(E92:H92)</f>
        <v>4515.1</v>
      </c>
      <c r="E92" s="1720">
        <v>1090.968</v>
      </c>
      <c r="F92" s="1721">
        <v>1242.168</v>
      </c>
      <c r="G92" s="1721">
        <v>1090.968</v>
      </c>
      <c r="H92" s="1722">
        <f>1090.968+0.028</f>
        <v>1090.996</v>
      </c>
      <c r="I92" s="1147"/>
    </row>
    <row r="93" spans="1:8" ht="89.25">
      <c r="A93" s="18" t="s">
        <v>631</v>
      </c>
      <c r="B93" s="474" t="s">
        <v>886</v>
      </c>
      <c r="C93" s="513" t="s">
        <v>51</v>
      </c>
      <c r="D93" s="1089">
        <f>SUM(E93:H93)</f>
        <v>5.6</v>
      </c>
      <c r="E93" s="1110">
        <f>5-5</f>
        <v>0</v>
      </c>
      <c r="F93" s="841">
        <v>5.6</v>
      </c>
      <c r="G93" s="841">
        <v>0</v>
      </c>
      <c r="H93" s="842">
        <v>0</v>
      </c>
    </row>
    <row r="94" spans="1:8" ht="54">
      <c r="A94" s="248" t="s">
        <v>170</v>
      </c>
      <c r="B94" s="843" t="s">
        <v>741</v>
      </c>
      <c r="C94" s="517" t="s">
        <v>561</v>
      </c>
      <c r="D94" s="1087">
        <f>SUM(E94:H94)</f>
        <v>11767.6</v>
      </c>
      <c r="E94" s="1101">
        <f>E95</f>
        <v>2941.9</v>
      </c>
      <c r="F94" s="401">
        <f>F95</f>
        <v>2941.9</v>
      </c>
      <c r="G94" s="401">
        <f>G95</f>
        <v>2941.9</v>
      </c>
      <c r="H94" s="402">
        <f>H95</f>
        <v>2941.9</v>
      </c>
    </row>
    <row r="95" spans="1:8" ht="54" customHeight="1">
      <c r="A95" s="844" t="s">
        <v>170</v>
      </c>
      <c r="B95" s="905" t="s">
        <v>742</v>
      </c>
      <c r="C95" s="904" t="s">
        <v>1382</v>
      </c>
      <c r="D95" s="1715">
        <f>SUM(D96:D97)</f>
        <v>11767.599999999999</v>
      </c>
      <c r="E95" s="1716">
        <f>SUM(E96:E97)</f>
        <v>2941.9</v>
      </c>
      <c r="F95" s="1717">
        <f>SUM(F96:F97)</f>
        <v>2941.9</v>
      </c>
      <c r="G95" s="1717">
        <f>SUM(G96:G97)</f>
        <v>2941.9</v>
      </c>
      <c r="H95" s="1718">
        <f>SUM(H96:H97)</f>
        <v>2941.9</v>
      </c>
    </row>
    <row r="96" spans="1:8" ht="41.25" customHeight="1">
      <c r="A96" s="229" t="s">
        <v>631</v>
      </c>
      <c r="B96" s="475" t="s">
        <v>431</v>
      </c>
      <c r="C96" s="514" t="s">
        <v>565</v>
      </c>
      <c r="D96" s="1707">
        <f>SUM(E96:H96)</f>
        <v>9259.8</v>
      </c>
      <c r="E96" s="1708">
        <v>2315</v>
      </c>
      <c r="F96" s="1709">
        <v>2314.9</v>
      </c>
      <c r="G96" s="1709">
        <v>2315</v>
      </c>
      <c r="H96" s="1710">
        <v>2314.9</v>
      </c>
    </row>
    <row r="97" spans="1:8" ht="36.75" thickBot="1">
      <c r="A97" s="631" t="s">
        <v>631</v>
      </c>
      <c r="B97" s="475" t="s">
        <v>432</v>
      </c>
      <c r="C97" s="514" t="s">
        <v>560</v>
      </c>
      <c r="D97" s="1711">
        <f>SUM(E97:H97)</f>
        <v>2507.8</v>
      </c>
      <c r="E97" s="1712">
        <v>626.9</v>
      </c>
      <c r="F97" s="1713">
        <v>627</v>
      </c>
      <c r="G97" s="1713">
        <v>626.9</v>
      </c>
      <c r="H97" s="1714">
        <v>627</v>
      </c>
    </row>
    <row r="98" spans="1:8" ht="19.5" thickBot="1">
      <c r="A98" s="627"/>
      <c r="B98" s="628"/>
      <c r="C98" s="629" t="s">
        <v>587</v>
      </c>
      <c r="D98" s="630">
        <f>SUM(E98:H98)</f>
        <v>118000</v>
      </c>
      <c r="E98" s="524">
        <f>E15+E84</f>
        <v>20818.868000000002</v>
      </c>
      <c r="F98" s="491">
        <f>F15+F84</f>
        <v>28816.468</v>
      </c>
      <c r="G98" s="491">
        <f>G15+G84</f>
        <v>36929.868</v>
      </c>
      <c r="H98" s="492">
        <f>H15+H84</f>
        <v>31434.796000000002</v>
      </c>
    </row>
    <row r="99" spans="1:8" ht="24.75" thickBot="1">
      <c r="A99" s="487" t="s">
        <v>631</v>
      </c>
      <c r="B99" s="488" t="s">
        <v>789</v>
      </c>
      <c r="C99" s="519" t="s">
        <v>778</v>
      </c>
      <c r="D99" s="532">
        <f>SUM(E99:H99)</f>
        <v>6999.999999999982</v>
      </c>
      <c r="E99" s="525">
        <f>-E100</f>
        <v>-2927.1200000000026</v>
      </c>
      <c r="F99" s="489">
        <f>-F100</f>
        <v>1194.6669999999976</v>
      </c>
      <c r="G99" s="489">
        <f>-G100</f>
        <v>23510.01099999999</v>
      </c>
      <c r="H99" s="490">
        <f>-H100</f>
        <v>-14777.558000000005</v>
      </c>
    </row>
    <row r="100" spans="1:9" ht="13.5" customHeight="1">
      <c r="A100" s="493" t="s">
        <v>631</v>
      </c>
      <c r="B100" s="494" t="s">
        <v>588</v>
      </c>
      <c r="C100" s="520" t="s">
        <v>849</v>
      </c>
      <c r="D100" s="533">
        <f>SUM(E100:H100)</f>
        <v>-6999.999999999982</v>
      </c>
      <c r="E100" s="526">
        <f>E101-E105</f>
        <v>2927.1200000000026</v>
      </c>
      <c r="F100" s="495">
        <f>F101-F105</f>
        <v>-1194.6669999999976</v>
      </c>
      <c r="G100" s="495">
        <f>G101-G105</f>
        <v>-23510.01099999999</v>
      </c>
      <c r="H100" s="496">
        <f>H101-H105</f>
        <v>14777.558000000005</v>
      </c>
      <c r="I100" s="912"/>
    </row>
    <row r="101" spans="1:8" ht="12.75">
      <c r="A101" s="90" t="s">
        <v>631</v>
      </c>
      <c r="B101" s="433" t="s">
        <v>589</v>
      </c>
      <c r="C101" s="521" t="s">
        <v>235</v>
      </c>
      <c r="D101" s="419">
        <f aca="true" t="shared" si="7" ref="D101:H103">D102</f>
        <v>118000</v>
      </c>
      <c r="E101" s="527">
        <f t="shared" si="7"/>
        <v>20818.868000000002</v>
      </c>
      <c r="F101" s="428">
        <f t="shared" si="7"/>
        <v>28816.468</v>
      </c>
      <c r="G101" s="428">
        <f t="shared" si="7"/>
        <v>36929.868</v>
      </c>
      <c r="H101" s="497">
        <f t="shared" si="7"/>
        <v>31434.796000000002</v>
      </c>
    </row>
    <row r="102" spans="1:8" ht="12.75">
      <c r="A102" s="229" t="s">
        <v>631</v>
      </c>
      <c r="B102" s="429" t="s">
        <v>590</v>
      </c>
      <c r="C102" s="39" t="s">
        <v>739</v>
      </c>
      <c r="D102" s="534">
        <f t="shared" si="7"/>
        <v>118000</v>
      </c>
      <c r="E102" s="528">
        <f t="shared" si="7"/>
        <v>20818.868000000002</v>
      </c>
      <c r="F102" s="430">
        <f t="shared" si="7"/>
        <v>28816.468</v>
      </c>
      <c r="G102" s="430">
        <f t="shared" si="7"/>
        <v>36929.868</v>
      </c>
      <c r="H102" s="498">
        <f t="shared" si="7"/>
        <v>31434.796000000002</v>
      </c>
    </row>
    <row r="103" spans="1:8" ht="12.75">
      <c r="A103" s="229" t="s">
        <v>631</v>
      </c>
      <c r="B103" s="429" t="s">
        <v>591</v>
      </c>
      <c r="C103" s="39" t="s">
        <v>740</v>
      </c>
      <c r="D103" s="534">
        <f t="shared" si="7"/>
        <v>118000</v>
      </c>
      <c r="E103" s="528">
        <f t="shared" si="7"/>
        <v>20818.868000000002</v>
      </c>
      <c r="F103" s="430">
        <f t="shared" si="7"/>
        <v>28816.468</v>
      </c>
      <c r="G103" s="430">
        <f t="shared" si="7"/>
        <v>36929.868</v>
      </c>
      <c r="H103" s="498">
        <f t="shared" si="7"/>
        <v>31434.796000000002</v>
      </c>
    </row>
    <row r="104" spans="1:9" ht="37.5" customHeight="1">
      <c r="A104" s="229" t="s">
        <v>631</v>
      </c>
      <c r="B104" s="429" t="s">
        <v>592</v>
      </c>
      <c r="C104" s="39" t="s">
        <v>1378</v>
      </c>
      <c r="D104" s="534">
        <f>SUM(E104:H104)</f>
        <v>118000</v>
      </c>
      <c r="E104" s="529">
        <f>E98</f>
        <v>20818.868000000002</v>
      </c>
      <c r="F104" s="431">
        <f>F98</f>
        <v>28816.468</v>
      </c>
      <c r="G104" s="431">
        <f>G98</f>
        <v>36929.868</v>
      </c>
      <c r="H104" s="499">
        <f>H98</f>
        <v>31434.796000000002</v>
      </c>
      <c r="I104" s="912"/>
    </row>
    <row r="105" spans="1:8" ht="12.75">
      <c r="A105" s="90" t="s">
        <v>631</v>
      </c>
      <c r="B105" s="433" t="s">
        <v>593</v>
      </c>
      <c r="C105" s="522" t="s">
        <v>496</v>
      </c>
      <c r="D105" s="419">
        <f aca="true" t="shared" si="8" ref="D105:H107">D106</f>
        <v>124999.99999999999</v>
      </c>
      <c r="E105" s="527">
        <f t="shared" si="8"/>
        <v>17891.748</v>
      </c>
      <c r="F105" s="428">
        <f t="shared" si="8"/>
        <v>30011.135</v>
      </c>
      <c r="G105" s="428">
        <f t="shared" si="8"/>
        <v>60439.87899999999</v>
      </c>
      <c r="H105" s="497">
        <f t="shared" si="8"/>
        <v>16657.237999999998</v>
      </c>
    </row>
    <row r="106" spans="1:8" ht="12.75">
      <c r="A106" s="229" t="s">
        <v>631</v>
      </c>
      <c r="B106" s="429" t="s">
        <v>594</v>
      </c>
      <c r="C106" s="39" t="s">
        <v>756</v>
      </c>
      <c r="D106" s="534">
        <f t="shared" si="8"/>
        <v>124999.99999999999</v>
      </c>
      <c r="E106" s="528">
        <f t="shared" si="8"/>
        <v>17891.748</v>
      </c>
      <c r="F106" s="430">
        <f t="shared" si="8"/>
        <v>30011.135</v>
      </c>
      <c r="G106" s="430">
        <f t="shared" si="8"/>
        <v>60439.87899999999</v>
      </c>
      <c r="H106" s="498">
        <f t="shared" si="8"/>
        <v>16657.237999999998</v>
      </c>
    </row>
    <row r="107" spans="1:8" ht="12.75">
      <c r="A107" s="229" t="s">
        <v>631</v>
      </c>
      <c r="B107" s="432" t="s">
        <v>595</v>
      </c>
      <c r="C107" s="39" t="s">
        <v>757</v>
      </c>
      <c r="D107" s="534">
        <f t="shared" si="8"/>
        <v>124999.99999999999</v>
      </c>
      <c r="E107" s="528">
        <f t="shared" si="8"/>
        <v>17891.748</v>
      </c>
      <c r="F107" s="430">
        <f t="shared" si="8"/>
        <v>30011.135</v>
      </c>
      <c r="G107" s="430">
        <f t="shared" si="8"/>
        <v>60439.87899999999</v>
      </c>
      <c r="H107" s="498">
        <f t="shared" si="8"/>
        <v>16657.237999999998</v>
      </c>
    </row>
    <row r="108" spans="1:9" ht="36" customHeight="1" thickBot="1">
      <c r="A108" s="486" t="s">
        <v>631</v>
      </c>
      <c r="B108" s="453" t="s">
        <v>596</v>
      </c>
      <c r="C108" s="40" t="s">
        <v>1379</v>
      </c>
      <c r="D108" s="535">
        <f>SUM(E108:H108)</f>
        <v>124999.99999999999</v>
      </c>
      <c r="E108" s="530">
        <f>'Бюд.р.'!I600</f>
        <v>17891.748</v>
      </c>
      <c r="F108" s="454">
        <f>'Бюд.р.'!J600</f>
        <v>30011.135</v>
      </c>
      <c r="G108" s="454">
        <f>'Бюд.р.'!K600</f>
        <v>60439.87899999999</v>
      </c>
      <c r="H108" s="500">
        <f>'Бюд.р.'!L600</f>
        <v>16657.237999999998</v>
      </c>
      <c r="I108" s="912"/>
    </row>
    <row r="109" spans="1:9" ht="16.5" thickBot="1">
      <c r="A109" s="117"/>
      <c r="B109" s="36"/>
      <c r="C109" s="523" t="s">
        <v>805</v>
      </c>
      <c r="D109" s="541">
        <f>SUM(D98:D99)</f>
        <v>124999.99999999999</v>
      </c>
      <c r="E109" s="531">
        <f>SUM(E98:E99)</f>
        <v>17891.748</v>
      </c>
      <c r="F109" s="455">
        <f>SUM(F98:F99)</f>
        <v>30011.135</v>
      </c>
      <c r="G109" s="455">
        <f>SUM(G98:G99)</f>
        <v>60439.87899999999</v>
      </c>
      <c r="H109" s="455">
        <f>SUM(H98:H99)</f>
        <v>16657.237999999998</v>
      </c>
      <c r="I109" s="912"/>
    </row>
    <row r="110" spans="1:2" ht="14.25">
      <c r="A110" s="14"/>
      <c r="B110" s="14"/>
    </row>
    <row r="111" spans="1:8" ht="12.75">
      <c r="A111" s="434"/>
      <c r="B111" s="2980" t="s">
        <v>358</v>
      </c>
      <c r="C111" s="2980"/>
      <c r="F111" s="2910" t="s">
        <v>1284</v>
      </c>
      <c r="G111" s="2910"/>
      <c r="H111" s="2910"/>
    </row>
    <row r="112" spans="1:8" ht="12.75">
      <c r="A112" s="434"/>
      <c r="B112" s="434"/>
      <c r="C112" s="434"/>
      <c r="F112" s="2910"/>
      <c r="G112" s="2910"/>
      <c r="H112" s="2910"/>
    </row>
    <row r="113" spans="1:8" ht="12.75">
      <c r="A113" s="434"/>
      <c r="B113" s="2980" t="s">
        <v>359</v>
      </c>
      <c r="C113" s="2980"/>
      <c r="F113" s="2910" t="s">
        <v>1259</v>
      </c>
      <c r="G113" s="2910"/>
      <c r="H113" s="2910"/>
    </row>
  </sheetData>
  <sheetProtection/>
  <mergeCells count="23">
    <mergeCell ref="B113:C113"/>
    <mergeCell ref="B111:C111"/>
    <mergeCell ref="F13:F14"/>
    <mergeCell ref="F113:H113"/>
    <mergeCell ref="C13:C14"/>
    <mergeCell ref="E13:E14"/>
    <mergeCell ref="A13:B13"/>
    <mergeCell ref="C4:H4"/>
    <mergeCell ref="C5:H5"/>
    <mergeCell ref="C1:H1"/>
    <mergeCell ref="C2:H2"/>
    <mergeCell ref="C3:H3"/>
    <mergeCell ref="C6:H6"/>
    <mergeCell ref="C7:H7"/>
    <mergeCell ref="C8:H8"/>
    <mergeCell ref="A9:H9"/>
    <mergeCell ref="A12:H12"/>
    <mergeCell ref="A10:H10"/>
    <mergeCell ref="F112:H112"/>
    <mergeCell ref="F111:H111"/>
    <mergeCell ref="G13:G14"/>
    <mergeCell ref="A11:H11"/>
    <mergeCell ref="H13:H14"/>
  </mergeCells>
  <printOptions/>
  <pageMargins left="0.75" right="0.4" top="0.64" bottom="0.58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2015-05-02T12:15:00Z</cp:lastPrinted>
  <dcterms:created xsi:type="dcterms:W3CDTF">2005-01-25T09:10:50Z</dcterms:created>
  <dcterms:modified xsi:type="dcterms:W3CDTF">2015-10-26T07:34:05Z</dcterms:modified>
  <cp:category/>
  <cp:version/>
  <cp:contentType/>
  <cp:contentStatus/>
</cp:coreProperties>
</file>