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690" yWindow="65446" windowWidth="11040" windowHeight="7065" firstSheet="2" activeTab="6"/>
  </bookViews>
  <sheets>
    <sheet name="пер.ф.п." sheetId="1" state="hidden" r:id="rId1"/>
    <sheet name="Св.б.рос." sheetId="2" state="hidden" r:id="rId2"/>
    <sheet name="ДОХ.Пр.1" sheetId="3" r:id="rId3"/>
    <sheet name="св.б.р" sheetId="4" state="hidden" r:id="rId4"/>
    <sheet name="ВЕД.СТ Пр.2." sheetId="5" r:id="rId5"/>
    <sheet name="Оценка ожид дох" sheetId="6" state="hidden" r:id="rId6"/>
    <sheet name="Рас.Пр.3" sheetId="7" r:id="rId7"/>
    <sheet name="ИФ.Пр.4" sheetId="8" r:id="rId8"/>
    <sheet name="Бюд.р." sheetId="9" state="hidden" r:id="rId9"/>
    <sheet name="кв" sheetId="10" state="hidden" r:id="rId10"/>
    <sheet name="Срперпфинплан" sheetId="11" state="hidden" r:id="rId11"/>
    <sheet name="Кас" sheetId="12" state="hidden" r:id="rId12"/>
    <sheet name="Ср пл" sheetId="13" state="hidden" r:id="rId13"/>
    <sheet name="Лист1" sheetId="14" state="hidden" r:id="rId14"/>
    <sheet name="Пцс" sheetId="15" state="hidden" r:id="rId15"/>
    <sheet name="Рас " sheetId="16" state="hidden" r:id="rId16"/>
  </sheets>
  <definedNames>
    <definedName name="_xlnm.Print_Area" localSheetId="4">'ВЕД.СТ Пр.2.'!$B$1:$O$176</definedName>
    <definedName name="_xlnm.Print_Area" localSheetId="3">'св.б.р'!$B$1:$N$253</definedName>
    <definedName name="_xlnm.Print_Area" localSheetId="1">'Св.б.рос.'!$B$1:$K$267</definedName>
  </definedNames>
  <calcPr fullCalcOnLoad="1"/>
</workbook>
</file>

<file path=xl/sharedStrings.xml><?xml version="1.0" encoding="utf-8"?>
<sst xmlns="http://schemas.openxmlformats.org/spreadsheetml/2006/main" count="6000" uniqueCount="1436">
  <si>
    <t>РАСХОДЫ НА ИСПОЛНЕНИЕ ОМСУ ОТДЕЛЬНЫХ ГОСУДАРСТВЕННЫХ ПОЛНОМОЧИЙ САНКТ-ПЕТЕРБУРГА ПО ОРГАНИЗАЦИИ И ОСУЩЕСТВЛЕНИЮ ДЕЯТЕЛЬНОСТИ ПО ОПЕКЕ И ПОПЕЧИТЕЛЬСТВУ</t>
  </si>
  <si>
    <t>Уменьшение прочих остатков денежных средств бюджетов субъектов Российской Федерации</t>
  </si>
  <si>
    <t xml:space="preserve">Уменьшение прочих остатков денежных средств местных бюджетов </t>
  </si>
  <si>
    <t>Уменьшение  остатков  средств пенсионных накоплений бюджета Пенсионного фонда Российской Федерации</t>
  </si>
  <si>
    <t>Уменьшение остатков денежных средств пенсионных накоплений бюджета Пенсионного фонда Российской Федерации</t>
  </si>
  <si>
    <t>12</t>
  </si>
  <si>
    <t>12.1</t>
  </si>
  <si>
    <t>12.1.1</t>
  </si>
  <si>
    <t>3.2</t>
  </si>
  <si>
    <t>3.2.1</t>
  </si>
  <si>
    <t>6.2.1</t>
  </si>
  <si>
    <t>10.1</t>
  </si>
  <si>
    <t>10.1.1</t>
  </si>
  <si>
    <t>795 01 03</t>
  </si>
  <si>
    <t>Другие вопросы в области образования</t>
  </si>
  <si>
    <t>795 05 00</t>
  </si>
  <si>
    <t>5.3</t>
  </si>
  <si>
    <t>5.3.1</t>
  </si>
  <si>
    <t>0709</t>
  </si>
  <si>
    <t xml:space="preserve">Уменьшение остатков средств пенсионных накоплений бюджета Пенсионного фонда Российской Федерации, размещенных в ценные бумаги </t>
  </si>
  <si>
    <t>806</t>
  </si>
  <si>
    <t>Обеспечение проведения выборов и референдумов</t>
  </si>
  <si>
    <t xml:space="preserve"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</si>
  <si>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Субвенции бюджетам внутригородских муниципальных образований Санкт-Петербурга на содержание ребенка в семъе опекуна и приемной семье</t>
  </si>
  <si>
    <t>Резервные фонды</t>
  </si>
  <si>
    <t>Резервный фонд местной администрации</t>
  </si>
  <si>
    <t>070 01 00</t>
  </si>
  <si>
    <t>070 01 01</t>
  </si>
  <si>
    <t>Целевая адресная программа  по обеспечению своевременного оповещения и информирования населения об угрозе возникновения или о возникновении чрезвычайной ситуации</t>
  </si>
  <si>
    <t xml:space="preserve">УСТАНОВКА,СОДЕРЖАНИЕ И РЕМОНТ ОГРАЖДЕНИЙ ГАЗОНОВ </t>
  </si>
  <si>
    <t>15</t>
  </si>
  <si>
    <t>3.2.2</t>
  </si>
  <si>
    <t>3.2.1.1</t>
  </si>
  <si>
    <t>3.2.2.1</t>
  </si>
  <si>
    <t>15.1</t>
  </si>
  <si>
    <t>15.1.1</t>
  </si>
  <si>
    <t>351  00 02</t>
  </si>
  <si>
    <t xml:space="preserve">Уменьшение прочих остатков денежных средств бюджета Федерального фонда обязательного медицинского страхования </t>
  </si>
  <si>
    <t xml:space="preserve">Уменьшение прочих остатков денежных средств бюджетов территориальных фондов обязательного медицинского страхования 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</si>
  <si>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</si>
  <si>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правонарушениях,и составлению протоколов об административных правонарушениях </t>
  </si>
  <si>
    <t>СОДЕРЖАНИЕ РЕБЕНКА В СЕМЬЕ ОПЕКУНА И ПРИЕМНОЙ СЕМЬЕ</t>
  </si>
  <si>
    <t>520 13 01</t>
  </si>
  <si>
    <t>520 13 02</t>
  </si>
  <si>
    <t>АППАРАТ ПРЕДСТАВИТЕЛЬНОГО ОРГАНА МУНИЦИПАЛЬНОГО ОБРАЗОВАНИЯ</t>
  </si>
  <si>
    <t>002  03 00</t>
  </si>
  <si>
    <t>ДЕПУТАТЫ, ОСУЩЕСТВЛЯЮЩИЕ СВОЮ ДЕЯТЕЛЬНОСТЬ НА ПОСТОЯННОЙ ОСНОВЕ</t>
  </si>
  <si>
    <t>002  03 01</t>
  </si>
  <si>
    <t>002 03 01</t>
  </si>
  <si>
    <t>002  03 02</t>
  </si>
  <si>
    <t>002 03 02</t>
  </si>
  <si>
    <t>002  06 00</t>
  </si>
  <si>
    <t>002  06 01</t>
  </si>
  <si>
    <t>002  06 02</t>
  </si>
  <si>
    <t>СОДЕРЖАНИЕ И ОБЕСПЕЧЕНИЕ ДЕЯТЕЛЬНОСТИ МЕСТНОЙ АДМИНИСТРАЦИИ ПО РЕШЕНИЮ ВОПРОСОВ МЕСТНОГО ЗНАЧЕНИЯ</t>
  </si>
  <si>
    <t>ОРГАНИЗАЦИЯ И ОСУЩЕСТВЛЕНИЕ ДЕЯТЕЛЬНОСТИ ПО ОПЕКЕ И ПОПЕЧИТЕЛЬСТВУ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</si>
  <si>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</si>
  <si>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002  06 03</t>
  </si>
  <si>
    <t>002 06 03</t>
  </si>
  <si>
    <t>002 06 01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</si>
  <si>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</si>
  <si>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Уменьшение прочих остатков денежных средств бюджета Фонда социального страхования Российской Федерации</t>
  </si>
  <si>
    <t>Уменьшение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</si>
  <si>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807</t>
  </si>
  <si>
    <t>824</t>
  </si>
  <si>
    <t>839</t>
  </si>
  <si>
    <t>Бирюкова Н.П.</t>
  </si>
  <si>
    <t>7.1.1.</t>
  </si>
  <si>
    <t>16</t>
  </si>
  <si>
    <t>16.1</t>
  </si>
  <si>
    <t>16.1.1</t>
  </si>
  <si>
    <t>8.1.2.2</t>
  </si>
  <si>
    <t>8.3.1.2</t>
  </si>
  <si>
    <t>8.3.3.1</t>
  </si>
  <si>
    <t>11.11.2009г</t>
  </si>
  <si>
    <t xml:space="preserve">Среднесрочный  финансовый план  </t>
  </si>
  <si>
    <t xml:space="preserve">                                                                                      на 2010-2012 годы                                                         в тыс.руб.</t>
  </si>
  <si>
    <t>запланировано на год (Реш. МС от 28.10.2009 №31)</t>
  </si>
  <si>
    <t>ожидаемый результат</t>
  </si>
  <si>
    <t>план</t>
  </si>
  <si>
    <t>1.3.1. Безвозмездные поступления от других бюджетов бюджетной системы РФ</t>
  </si>
  <si>
    <t>Субвенции на выполнение передаваемых полномочий</t>
  </si>
  <si>
    <t>МУНИЦИПАЛЬНЫЙ СОВЕТ МО МО ОЗЕРО ДОЛГОЕ</t>
  </si>
  <si>
    <t>925</t>
  </si>
  <si>
    <t xml:space="preserve">Бюджетная роспись главного распорядителя бюджетных средств </t>
  </si>
  <si>
    <t>Утверждено Распоряжением Главы МО МО МО Озеро Долгое</t>
  </si>
  <si>
    <t>Уменьшение прочих остатков денежных средств бюбжета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</si>
  <si>
    <t>ГЛАВА МЕСТНОЙ АДМИНИСТРАЦИИ</t>
  </si>
  <si>
    <t>2.1.1.</t>
  </si>
  <si>
    <t>5.1.1</t>
  </si>
  <si>
    <t>6.1.1</t>
  </si>
  <si>
    <t>8.1</t>
  </si>
  <si>
    <t>9.1</t>
  </si>
  <si>
    <t>9.1.1</t>
  </si>
  <si>
    <t>11</t>
  </si>
  <si>
    <t>11.1</t>
  </si>
  <si>
    <t>11.1.1</t>
  </si>
  <si>
    <t>4.1.1.</t>
  </si>
  <si>
    <t>7.1</t>
  </si>
  <si>
    <t>№.П.П.</t>
  </si>
  <si>
    <t>1.2.1.1.</t>
  </si>
  <si>
    <t>КОД ВИДА РАСХОДОВ</t>
  </si>
  <si>
    <t>ОБЩЕГОСУДАРСТВЕННЫЕ ВОПРОСЫ</t>
  </si>
  <si>
    <t>1.</t>
  </si>
  <si>
    <t>001  00 00</t>
  </si>
  <si>
    <t>Заработная плата</t>
  </si>
  <si>
    <t xml:space="preserve">Начисления на оплату труда </t>
  </si>
  <si>
    <t>2.</t>
  </si>
  <si>
    <t>Прочие выплаты</t>
  </si>
  <si>
    <t xml:space="preserve">Начисления  на оплату труда 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</si>
  <si>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</si>
  <si>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</si>
  <si>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</si>
  <si>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</si>
  <si>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содержание имуществом</t>
  </si>
  <si>
    <t>Прочие услуги</t>
  </si>
  <si>
    <t xml:space="preserve"> 1 09 00000 00 0000 000</t>
  </si>
  <si>
    <t xml:space="preserve"> 1 14 00000 00 0000 000</t>
  </si>
  <si>
    <t>ДОХОДЫ ОТ ПРОДАЖИ МАТЕРИАЛЬНЫХ И НЕМАТЕРИАЛЬНЫХ АКТИВОВ</t>
  </si>
  <si>
    <t xml:space="preserve"> 1 14 02000 00 0000 000</t>
  </si>
  <si>
    <t>114 02030 03 0000 410</t>
  </si>
  <si>
    <t>114 02030 03 0000 440</t>
  </si>
  <si>
    <t xml:space="preserve"> 1 11 00000 00 0000 000</t>
  </si>
  <si>
    <t>ДОХОДЫ ОТ ИСПОЛЬЗОВАНИЯ ИМУЩЕСТВА,НАХОДЯЩЕГОСЯ В ГОСУДАРСТВЕННОЙ И МУНИЦИПАЛЬНОЙ СОБСТВЕННОСТИ</t>
  </si>
  <si>
    <t xml:space="preserve"> 1 11 05000 00 0000 120</t>
  </si>
  <si>
    <t>Доходы от сдачи в аренду имущества,находящегося в государственной и муниципальной собственности</t>
  </si>
  <si>
    <t>111 05033 03 0000 120</t>
  </si>
  <si>
    <t xml:space="preserve"> 1 11 07000 00 0000 120</t>
  </si>
  <si>
    <t>Платежи от государственных и муниципальных унитарных предприятий</t>
  </si>
  <si>
    <t xml:space="preserve"> 1 11 07010 00 0000 120</t>
  </si>
  <si>
    <t>Доходы от перечисления части прибыли государственных и муниципальных унитарных предприятий,остающейся после уплаты налогов и обязательных платежей</t>
  </si>
  <si>
    <t xml:space="preserve"> 1 11 07013 03 0000 120</t>
  </si>
  <si>
    <t>Функционирование высшего должностного лица субъекта Российской Федерации и муниципального образования</t>
  </si>
  <si>
    <t>ВЫПОЛНЕНИЕ ОФОРМЛЕНИЯ К ПРАЗДНИЧНЫМ МЕРОПРИЯТИЯМ НА ТЕРРИТОРИИ МУНИЦИПАЛЬНОГО ОБРАЗОВАНИЯ</t>
  </si>
  <si>
    <t>VIII</t>
  </si>
  <si>
    <t>2.2.1</t>
  </si>
  <si>
    <t>4.3.1</t>
  </si>
  <si>
    <t>6.1.1.1</t>
  </si>
  <si>
    <t>6.1.2.1</t>
  </si>
  <si>
    <t>6.1.3</t>
  </si>
  <si>
    <t>6.1.5</t>
  </si>
  <si>
    <t>Проведение выборов в представительные органы муниципального образования</t>
  </si>
  <si>
    <t>020 01 01</t>
  </si>
  <si>
    <t>795 04 00</t>
  </si>
  <si>
    <t>6.1.3.1</t>
  </si>
  <si>
    <t>6.1.5.1</t>
  </si>
  <si>
    <t>6.3</t>
  </si>
  <si>
    <t>6.3.1</t>
  </si>
  <si>
    <t>6.4.2</t>
  </si>
  <si>
    <t>6.4.2.1</t>
  </si>
  <si>
    <t>ВЫПОЛНЕНИЕ ДРУГИХ ОБЯЗАТЕЛЬСТВ ГОСУДАРСТВА</t>
  </si>
  <si>
    <t>1 00 00000 00 0000 000</t>
  </si>
  <si>
    <t xml:space="preserve">000 </t>
  </si>
  <si>
    <t xml:space="preserve"> 1 05 00000 00 0000 000</t>
  </si>
  <si>
    <t>000</t>
  </si>
  <si>
    <t>182</t>
  </si>
  <si>
    <t xml:space="preserve"> 1 05 01010 01 0000 110</t>
  </si>
  <si>
    <t xml:space="preserve"> 1 06 00000 00 0000 000</t>
  </si>
  <si>
    <t>плановый период</t>
  </si>
  <si>
    <t>прогноз</t>
  </si>
  <si>
    <t>запланировано на год</t>
  </si>
  <si>
    <t>5.1. Остаток задолженности по выданным муниципальным гарантиям</t>
  </si>
  <si>
    <t>6. Справочно:</t>
  </si>
  <si>
    <t>6.1. Отношение объема муниципального долга к объему доходов местного бюджета без учета финансовой помощи из бюджета Санкт-Петербурга</t>
  </si>
  <si>
    <t>Приложение № 2</t>
  </si>
  <si>
    <t>6.2. Отношение расходов на обслуживание муниципального долга к расходам местного бюджета</t>
  </si>
  <si>
    <t>2.7. Здравоохранение и спорт</t>
  </si>
  <si>
    <t>2.8. Социальная политика</t>
  </si>
  <si>
    <t>6.3. Отношение дефицита местного бюджета к объему доходов без учета финансовой помощи из бюджета Санкт-Петербурга</t>
  </si>
  <si>
    <t>2.1.2. Обслуживание муниципального долга *</t>
  </si>
  <si>
    <t>* Муниципальный долг отсутствует</t>
  </si>
  <si>
    <t>РАСХОДЫ ИЗ СРЕДСТВ ЦЕЛЕВОЙ СУБВЕНЦИИ БЮДЖЕТУ МУНИЦИПАЛЬНОГО ОБРАЗОВАНИЯ ОЗЕРО ДОЛГОЕ НА "МУНИЦИПАЛЬНЫЕ ЦЕЛЕВЫЕ ПРОГРАММЫ ПО БЛАГОУСТРОЙСТВУ, ОРГАНИЗАЦИЮ ДОПОЛНИТЕЛЬНЫХ ПАРКОВОЧНЫХ МЕСТ. УСТАНОВКУ И РЕМОНТ ОГРАЖДЕНИЙ ГАЗОНОВ, , СОЗДАНИЕ ЗОН ОТДЫХА, ОФОРМЛЕ</t>
  </si>
  <si>
    <t xml:space="preserve">Сводная бюджетная роспись МА МО МО Озеро Долгое </t>
  </si>
  <si>
    <t>ПОСТУПЛЕНИЙ ДОХОДОВ И ИСТОЧНИКОВ ВНУТРЕННЕГО ФИНАНСИРОВАНИЯ ДЕФИЦИТА</t>
  </si>
  <si>
    <t xml:space="preserve">ПОКВАРТАЛЬНОЕ РАСПРЕДЕЛЕНИЕ </t>
  </si>
  <si>
    <t>Приложение № 1 к сводной бюджетной росписи</t>
  </si>
  <si>
    <t>3.1.2.1.2</t>
  </si>
  <si>
    <t>3.1.2.1.4</t>
  </si>
  <si>
    <t>3.1.2.2</t>
  </si>
  <si>
    <t>3.1.2.2.1</t>
  </si>
  <si>
    <t>3.1.2.2.2</t>
  </si>
  <si>
    <t>431 00 01</t>
  </si>
  <si>
    <t>1.1.1</t>
  </si>
  <si>
    <t>1.1.1.1</t>
  </si>
  <si>
    <t>1.1.1.1.1</t>
  </si>
  <si>
    <t>а</t>
  </si>
  <si>
    <t>б</t>
  </si>
  <si>
    <t>2.1.1</t>
  </si>
  <si>
    <t>2.1.1.1</t>
  </si>
  <si>
    <t>2.1.2.1</t>
  </si>
  <si>
    <t>2.1.2.1.1</t>
  </si>
  <si>
    <t>в</t>
  </si>
  <si>
    <t>г</t>
  </si>
  <si>
    <t>д</t>
  </si>
  <si>
    <t>е</t>
  </si>
  <si>
    <t>3.1.1</t>
  </si>
  <si>
    <t>111 05030 00 0000 120</t>
  </si>
  <si>
    <t>2.2</t>
  </si>
  <si>
    <t>1 09 04040 01 0000 110</t>
  </si>
  <si>
    <t>6.1.</t>
  </si>
  <si>
    <t>6.1.2</t>
  </si>
  <si>
    <t xml:space="preserve"> 1 05 01020 01 0000 110</t>
  </si>
  <si>
    <t xml:space="preserve"> 1 16 18000 00 0000 140</t>
  </si>
  <si>
    <t>Денежные взыскания (штрафы) за нарушение бюджетного законодательства РФ</t>
  </si>
  <si>
    <t xml:space="preserve"> 1 16 18030 03 0000 140</t>
  </si>
  <si>
    <t xml:space="preserve"> 1 16 21000 00 0000 140</t>
  </si>
  <si>
    <t>Денежные взыскания (штрафы) и иные суммы, взыскиваемые с лиц виновных  в совершении преступлений, и в возмещение ущерба имуществу</t>
  </si>
  <si>
    <t xml:space="preserve"> 1 16 90000 00 0000 140</t>
  </si>
  <si>
    <t>Увеличение остатков средств бюджетов</t>
  </si>
  <si>
    <t>000 08 01 00 00 00 0000 510</t>
  </si>
  <si>
    <t>Увеличение остатков финансовых резервов бюджетов</t>
  </si>
  <si>
    <t>000 08 01 01 00 00 0000 510</t>
  </si>
  <si>
    <t>Увеличение остатков денежных средств финансовых резервов</t>
  </si>
  <si>
    <t>000 08 01 01 00 01 0000 510</t>
  </si>
  <si>
    <t>6.2.</t>
  </si>
  <si>
    <t xml:space="preserve"> 1 14 04000 00 0000 420</t>
  </si>
  <si>
    <t>Доходы от продажи нематериальных активов</t>
  </si>
  <si>
    <t>114 04030 03 0000 420</t>
  </si>
  <si>
    <t>в тыс.руб.</t>
  </si>
  <si>
    <t xml:space="preserve">НАИМЕНОВАНИЕ   </t>
  </si>
  <si>
    <t>092 01 00</t>
  </si>
  <si>
    <t>431 01 00</t>
  </si>
  <si>
    <t>431 02 00</t>
  </si>
  <si>
    <t>450 01 00</t>
  </si>
  <si>
    <t>Прочие расходы</t>
  </si>
  <si>
    <t xml:space="preserve">Увеличение стоимости основных средств </t>
  </si>
  <si>
    <t>Увеличение стоимости материальных запасов</t>
  </si>
  <si>
    <t>НАЦИОНАЛЬНАЯ БЕЗОПАСНОСТЬ И ПРАВООХРАНИТЕЛЬНАЯ ДЕЯТЕЛЬНОСТЬ</t>
  </si>
  <si>
    <t>3.</t>
  </si>
  <si>
    <t>ЖИЛИЩНО-КОММУНАЛЬНОЕ ХОЗЯЙСТВО</t>
  </si>
  <si>
    <t>КОД ЦЕЛЕВОЙ СТАТЬИ</t>
  </si>
  <si>
    <t>КОД ЭКОНОМИЧЕСКОЙ СТАТЬИ</t>
  </si>
  <si>
    <t>КОД РАЗДЕЛА  И ПОДРАЗДЕЛА</t>
  </si>
  <si>
    <t>1.2</t>
  </si>
  <si>
    <t>001 00 00</t>
  </si>
  <si>
    <t>3.1</t>
  </si>
  <si>
    <t>ОБРАЗОВАНИЕ</t>
  </si>
  <si>
    <t>СОЦИАЛЬНАЯ ПОЛИТИКА</t>
  </si>
  <si>
    <t>027</t>
  </si>
  <si>
    <t>447</t>
  </si>
  <si>
    <t>РАСХОДЫ</t>
  </si>
  <si>
    <t>200</t>
  </si>
  <si>
    <t>260</t>
  </si>
  <si>
    <t>ПОСТУПЛЕНИЕ НЕФИНАНСОВЫХ АКТИВОВ</t>
  </si>
  <si>
    <t>210</t>
  </si>
  <si>
    <t>1.1</t>
  </si>
  <si>
    <t>1.1.1.</t>
  </si>
  <si>
    <t>1.1.2.</t>
  </si>
  <si>
    <t>412</t>
  </si>
  <si>
    <t>502</t>
  </si>
  <si>
    <t>707</t>
  </si>
  <si>
    <t>211</t>
  </si>
  <si>
    <t>213</t>
  </si>
  <si>
    <t>104</t>
  </si>
  <si>
    <t>103</t>
  </si>
  <si>
    <t>042</t>
  </si>
  <si>
    <t>ОПЛАТА ТРУДА И НАЧИСЛЕНИЯ НА ОПЛАТУ ТРУДА</t>
  </si>
  <si>
    <t>300</t>
  </si>
  <si>
    <t>СОЦИАЛЬНОЕ ОБЕСПЕЧЕНИЕ</t>
  </si>
  <si>
    <t>261</t>
  </si>
  <si>
    <t>ПРИОБРЕТЕНИЕ УСЛУГ</t>
  </si>
  <si>
    <t>310</t>
  </si>
  <si>
    <t>340</t>
  </si>
  <si>
    <t>113</t>
  </si>
  <si>
    <t>290</t>
  </si>
  <si>
    <t>309</t>
  </si>
  <si>
    <t>Источники доходов</t>
  </si>
  <si>
    <t>Код</t>
  </si>
  <si>
    <t>Сумма</t>
  </si>
  <si>
    <t>(тыс. руб.)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</si>
  <si>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</si>
  <si>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</si>
  <si>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</si>
  <si>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</si>
  <si>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 xml:space="preserve">Налог с имущества, переходящего в порядке наследования или дарения </t>
  </si>
  <si>
    <t>ШТРАФЫ, САНКЦИИ, ВОЗМЕЩЕНИЕ УЩЕРБА</t>
  </si>
  <si>
    <t>Денежные взыскания (штрафы) за нарушение норм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</si>
  <si>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102</t>
  </si>
  <si>
    <t>Прочие  поступления от денежных взысканий (штрафов) и иных сумм в возмещение ущерба</t>
  </si>
  <si>
    <t>БЕЗВОЗМЕЗДНЫЕ  ПОСТУПЛЕНИЯ</t>
  </si>
  <si>
    <t>2.1</t>
  </si>
  <si>
    <t>2.1.2.</t>
  </si>
  <si>
    <t>3.1.2</t>
  </si>
  <si>
    <t>3.1.2.1</t>
  </si>
  <si>
    <t>3.1.2.1.1</t>
  </si>
  <si>
    <t>Увеличение остатков денежных средств финансовых резервов бюджетов субъектов Российской Федерации</t>
  </si>
  <si>
    <t>000 08 01 01 00 03 0000 510</t>
  </si>
  <si>
    <t xml:space="preserve">Увеличение остатков денежных средств финансовых резервов местных бюджетов </t>
  </si>
  <si>
    <t>000 08 01 01 00 06 0000 510</t>
  </si>
  <si>
    <t>КОММУНАЛЬНОЕ ХОЗЯЙСТВО</t>
  </si>
  <si>
    <t>755</t>
  </si>
  <si>
    <t>262</t>
  </si>
  <si>
    <t>1000</t>
  </si>
  <si>
    <t>БОРЬБА С БЕЗПРИЗОРНОСТЬЮ,ОПЕКА И ПОПЕЧИТЕЛЬСТВО</t>
  </si>
  <si>
    <t>ИТОГО РАСХОДОВ</t>
  </si>
  <si>
    <t>5</t>
  </si>
  <si>
    <t>6</t>
  </si>
  <si>
    <t>7</t>
  </si>
  <si>
    <t>ПРОЧИЕ РАСХОДЫ</t>
  </si>
  <si>
    <t>Увеличение остатков денежных средств финансового резерва федерального бюджета</t>
  </si>
  <si>
    <t>000 08 01 01 00 01 0001 510</t>
  </si>
  <si>
    <t>Увеличение остатков денежных средств Стабилизационного фонда Российской Федерации</t>
  </si>
  <si>
    <t>000 08 01 01 00 02 0000 510</t>
  </si>
  <si>
    <t>Доходы от реализации имущества,находящегося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предприятий,в том числе казенных)</t>
  </si>
  <si>
    <t>Доходы от продажи нематериальных активов, находящихся в собственности внутригородских муниципальных образований городов федерального значения Москвы и Санкт-Петербурга</t>
  </si>
  <si>
    <t>Денежные взыскания (штрафы) за нарушение бюджетного законодательства РФ (в части бюджетов внутригородских муниципальных образований городов федерального значения Москвы и Санкт-Петербурга)</t>
  </si>
  <si>
    <t xml:space="preserve"> 1 16 21030 03 0000 140</t>
  </si>
  <si>
    <t>Собственные</t>
  </si>
  <si>
    <t xml:space="preserve"> 1 16 23000 00 0000 140</t>
  </si>
  <si>
    <t>Доходы от возмещения ущерба при возникновении страховых случаев</t>
  </si>
  <si>
    <t xml:space="preserve"> 1 16 23030 03 0000 140</t>
  </si>
  <si>
    <t>Доходы от возмещения ущерба при возникновении страховых случаев,когда выгодоприобретателями по договорам страхования выступают получатели средств  бюджетов внутригородских муниципальных образований городов федерального значения Москвы и Санкт-Петербурга</t>
  </si>
  <si>
    <t xml:space="preserve"> 1 16 90030 03 0100 140</t>
  </si>
  <si>
    <t>Штрафы за административные правонарушения в сфере благоустройства,предусмотренные Законом Санкт-Петербурга "Об административных правонарушениях в сфере благоустройства в Санкт-Петербурге"</t>
  </si>
  <si>
    <t xml:space="preserve"> 1 16 90030 03 0200 140 </t>
  </si>
  <si>
    <t>Отношение доходов</t>
  </si>
  <si>
    <t>Отношение расходов</t>
  </si>
  <si>
    <t>Отношение дефицита</t>
  </si>
  <si>
    <t>Увеличение остатков средств   Стабилизационного фонда Российской Федерации, размещенных в ценные бумаги</t>
  </si>
  <si>
    <t>000 08 01 02 00 02 0000 510</t>
  </si>
  <si>
    <t xml:space="preserve">Увеличение остатков  средств финансового резерва бюджетов субъектов Российской Федерации, размещенных в ценные бумаги  </t>
  </si>
  <si>
    <t>Налог, взимаемый в связи с применением упрощенной системы налогообложения</t>
  </si>
  <si>
    <t>КОСГУ</t>
  </si>
  <si>
    <t>Оплата труда и начисления на выплаты по оплате труда</t>
  </si>
  <si>
    <t>002 01 00</t>
  </si>
  <si>
    <t>Начисления на выплаты по оплате труда</t>
  </si>
  <si>
    <t>Расходы</t>
  </si>
  <si>
    <t>Оплата работ,услуг</t>
  </si>
  <si>
    <t>Работы,услуги по содержанию имущества</t>
  </si>
  <si>
    <t>Прочие работы,услуги</t>
  </si>
  <si>
    <t>Поступление нефинансовых активов</t>
  </si>
  <si>
    <t>002 05 00</t>
  </si>
  <si>
    <t>Социальное обеспечение</t>
  </si>
  <si>
    <t>Пособия по социальной помощи населению</t>
  </si>
  <si>
    <t>Главный бухгалтер МА МО МО Озеро Долгое</t>
  </si>
  <si>
    <t>Начальник планово-бюджетного отдела</t>
  </si>
  <si>
    <t>Шакирова О.В.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</si>
  <si>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</si>
  <si>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</si>
  <si>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БЮДЖЕТОВ БЮДЖЕТНОЙ СИСТЕМЫ РФ ОТ ВОЗВРАТА ОСТАТКОВ СУБСИДИЙ И СУБВЕНЦИЙ ПРОШЛЫХ ЛЕТ</t>
  </si>
  <si>
    <t>118 03000 03 0000 000</t>
  </si>
  <si>
    <t xml:space="preserve">Доходы бюджетов внутригородских муниципальных образований городов федерального значения Москвы и Санкт-Петербурга от возврата остатков субсидий и субвенций прошлых лет </t>
  </si>
  <si>
    <t>Доходы  бюджетов внутригородских муниципальных образований городов федерального значения Москвы и Санкт-Петербурга от возврата остатков субсидий и субвенций прошлых лет небюджетными организациями</t>
  </si>
  <si>
    <t xml:space="preserve"> 1 16 90030 03 0000 140</t>
  </si>
  <si>
    <t>Прочие  поступления от денежных взысканий (штрафов) и иных сумм в возмещение ущерба, зачисляемые  в  бюджеты внутригородских муниципальных образований городов федерального значения Москвы и Санкт-Петербурга</t>
  </si>
  <si>
    <t>1 17 05030 03 0000 180</t>
  </si>
  <si>
    <t>Доходы от реализации имущества,находящегося в собственности внутригородских муниципальных образований городов федерального значения Москвы и Санкт-Петербурга ( за исключением имущества автономных учреждений,а также имущества государственных и муниципальных унитарных предприятий,в том числе казенных),в части реализации материальных запасов по указанному имуществу</t>
  </si>
  <si>
    <t>Денежные взыскания (штрафы) и иные суммы, взыскиваемые с лиц, виновных  в совершении преступлений, и в возмещение ущерба имуществу, зачисляемые в  бюджеты внутригородских муниципальных образований городов федерального значения Москвы и Санкт-Петербурга</t>
  </si>
  <si>
    <t>Прочие неналоговые доходы бюджетов  внутригородских муниципальных образований городов федерального значения Москвы и Санкт-Петербурга</t>
  </si>
  <si>
    <t>Другие подвиды прочих неналоговых доходов бюджетов  внутригородских муниципальных образований  Санкт-Петербурга</t>
  </si>
  <si>
    <t>БЕЗВОЗМЕЗДНЫЕ ПОСТУПЛЕНИЯ ОТ ДРУГИХ БЮДЖЕТОВ БЮДЖЕТНОЙ СИСТЕМЫ РФ</t>
  </si>
  <si>
    <t xml:space="preserve"> 202 03000 00 0000 151  </t>
  </si>
  <si>
    <t>Субвенции бюджетам субъектов Российской Федерации и муниципальных образований</t>
  </si>
  <si>
    <t>202 03024 00 0000 151</t>
  </si>
  <si>
    <t>000 08 01 02 00 03 0000 510</t>
  </si>
  <si>
    <t xml:space="preserve">Увеличение остатков  средств финансовых резервов местных бюджетов, размещенных в ценные бумаги   </t>
  </si>
  <si>
    <t>000 08 01 02 00 06 0000 510</t>
  </si>
  <si>
    <t>Молодежная политика и оздоровление детей</t>
  </si>
  <si>
    <t>0700</t>
  </si>
  <si>
    <t>0707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</si>
  <si>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</si>
  <si>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</si>
  <si>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0800</t>
  </si>
  <si>
    <t>0801</t>
  </si>
  <si>
    <t>Доходы от сдачи в аренду имущества,находящегося в оперативном управлении органов управления внутригородских муниципальных образований городов федерального значения Москвы и Санкт-Петербурга и созданных ими учреждений и в хозяйственном ведении муниципальных унитарных предприятий</t>
  </si>
  <si>
    <t xml:space="preserve">Доходы от перечисления части прибыли ,остающейся после уплаты налогов и обязательных платежей муниципальных унитарных предприятий,созданных внутригородскими муниципальными образованиями городов федерального значения Москвы и Санкт-Петербурга </t>
  </si>
  <si>
    <t xml:space="preserve">Прочие доходы 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 </t>
  </si>
  <si>
    <t>113 03030 03 0100 130</t>
  </si>
  <si>
    <t>Средства,составляющие восстановительную стоимость зеленых насаждений внутриквартального озеленения и зачисляемые в бюджеты внутригородских муниципальных образований Санкт-Петербурга в соответствии с законодательством Санкт-Петербурга</t>
  </si>
  <si>
    <t>Увеличение прочих остатков 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</si>
  <si>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000 08 02 02 00 07 0002 510</t>
  </si>
  <si>
    <t>9</t>
  </si>
  <si>
    <t>10</t>
  </si>
  <si>
    <t xml:space="preserve">НАЛОГОВЫЕ И НЕНАЛОГОВЫЕ ДОХОДЫ </t>
  </si>
  <si>
    <t>1.1.2</t>
  </si>
  <si>
    <t>УБОРКА ТЕРРИТОРИЙ, ВОДНЫХ АКВАТОРИЙ, ТУПИКОВ И ПРОЕЗДОВ</t>
  </si>
  <si>
    <t>600 02 03</t>
  </si>
  <si>
    <t>Увеличение остатков средств пенсионных накоплений бюджета Пенсионного фонда Российской Федерации, размещенных в ценные бумаги</t>
  </si>
  <si>
    <t>000 08 02 01 00 06 0003 510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</si>
  <si>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</si>
  <si>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000 08 02 01 00 07 0000 510</t>
  </si>
  <si>
    <t>Увеличение прочих остатков денежных средств бюджета Фонда социального страхования Российской Федерации</t>
  </si>
  <si>
    <t>000 08 02 01 00 07 0001 510</t>
  </si>
  <si>
    <t>2 02 02999 00 0000 151</t>
  </si>
  <si>
    <t>Прочие субсидии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</si>
  <si>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</si>
  <si>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</si>
  <si>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202 02000 00 0000 151</t>
  </si>
  <si>
    <t>Субсидии бюджетам субъектов Российской Федерации и муниципальных образований( межбюджетные субсидии)</t>
  </si>
  <si>
    <t>ИТОГО</t>
  </si>
  <si>
    <t>Источники финансирования дефицита бюджета</t>
  </si>
  <si>
    <t>4.1.</t>
  </si>
  <si>
    <t>Увеличение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</si>
  <si>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000 08 02 01 00 07 0002 510</t>
  </si>
  <si>
    <t>0500</t>
  </si>
  <si>
    <t>Благоустройство</t>
  </si>
  <si>
    <t>0503</t>
  </si>
  <si>
    <t>600 01 00</t>
  </si>
  <si>
    <t>ТЕКУЩИЙ РЕМОНТ ПРИДОМОВЫХ ТЕРРИТОРИЙ И ТЕРРИТОРИЙ ДВОРОВ,ВКЛЮЧАЯ ПРОЕЗДЫ И ВЪЕЗДЫ,ПЕШЕХОДНЫЕ ДОРОЖКИ</t>
  </si>
  <si>
    <t>600 01 01</t>
  </si>
  <si>
    <t>600 01 02</t>
  </si>
  <si>
    <t>600 01 03</t>
  </si>
  <si>
    <t>УСТАНОВКА И СОДЕРЖАНИЕ МАЛЫХ АРХИТЕКТУРНЫХ ФОРМ, УЛИЧНОЙ МЕБЕЛИ И ХОЗЯЙСТВЕННОГО-БЫТОВОГО ОБОРУДОВАНИЯ</t>
  </si>
  <si>
    <t>600 01 04</t>
  </si>
  <si>
    <t xml:space="preserve">МЕСТНОГО БЮДЖЕТА МО МО Озеро Долгое </t>
  </si>
  <si>
    <t>ОБУСТРОЙСТВО И СОДЕРЖАНИЕ ДЕТСКИХ И СПОРТИВНЫХ ПЛОЩАДОК</t>
  </si>
  <si>
    <t>600 01 05</t>
  </si>
  <si>
    <t>600 02 00</t>
  </si>
  <si>
    <t>0309</t>
  </si>
  <si>
    <t>795 01 00</t>
  </si>
  <si>
    <t>Другие общегосударственные вопросы</t>
  </si>
  <si>
    <t>0114</t>
  </si>
  <si>
    <t>Субсидии</t>
  </si>
  <si>
    <t>Итого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</si>
  <si>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 НА ТЕРРИТОРИИ МУНИЦИПАЛЬНОГО ОБРАЗОВАНИЯ</t>
  </si>
  <si>
    <t>Выполнение функций органами местного самоуправления</t>
  </si>
  <si>
    <t>к Решению Муниципального совета</t>
  </si>
  <si>
    <t>511 00 01</t>
  </si>
  <si>
    <t>511 00 02</t>
  </si>
  <si>
    <t>3.1.1.1.1</t>
  </si>
  <si>
    <t xml:space="preserve">Увеличение прочих остатков  средств бюджета Пенсионного фонда Российской Федерации, временно размещенных в ценные бумаги </t>
  </si>
  <si>
    <t>000 08 02 02 00 06 0001 510</t>
  </si>
  <si>
    <t>202 03027 03 0100 151</t>
  </si>
  <si>
    <t>202 03027 03 0200 151</t>
  </si>
  <si>
    <t xml:space="preserve">Увеличение  остатков  средств пенсионных накоплений бюджета Пенсионного фонда Российской Федерации, временно размещенных в ценные бумаги </t>
  </si>
  <si>
    <t>000 08 02 02 00 06 0002 510</t>
  </si>
  <si>
    <t>Увеличение прочих остатков денежных средств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</si>
  <si>
    <t>000 08 02 01 00 08 0000 510</t>
  </si>
  <si>
    <t xml:space="preserve">Увеличение прочих остатков денежных средств бюджета Федерального фонда обязательного медицинского страхования </t>
  </si>
  <si>
    <t>000 08 02 01 00 09 0000 510</t>
  </si>
  <si>
    <t xml:space="preserve">Увеличение прочих остатков денежных средств бюджетов территориальных фондов обязательного медицинского страхования </t>
  </si>
  <si>
    <t>000 08 02 02 00 01 0000 510</t>
  </si>
  <si>
    <t>Увеличение прочих остатков  средств федерального бюджета, временно размещенных в ценные бумаги</t>
  </si>
  <si>
    <t>000 08 02 02 00 02 0000 510</t>
  </si>
  <si>
    <t>ДРУГИЕ ОБЩЕГОСУДАРСТВЕННЫЕ ВОПРОСЫ</t>
  </si>
  <si>
    <t>4.1.1</t>
  </si>
  <si>
    <t>4.1.1.1</t>
  </si>
  <si>
    <t>БЕЗВОЗМЕЗДНОЕ И БЕЗВОЗВРАТНОЕ ПЕРЕЧИСЛЕНИЕ ОРГАНИЗАЦИЯМ</t>
  </si>
  <si>
    <t>БЕЗВОЗМЕЗДНОЕ И БЕЗВОЗВРАТНОЕ ПЕРЕЧИСЛЕНИЕ ОРГАНИЗАЦИЯМ, ЗА ИСКЛЮЧЕНИЕМ ГОСУДАРСТВЕННЫХ И МУНИЦИПАЛЬНЫХ ОРГАНИЗАЦИЙ</t>
  </si>
  <si>
    <t>115</t>
  </si>
  <si>
    <t>242</t>
  </si>
  <si>
    <t>240</t>
  </si>
  <si>
    <t>1.4</t>
  </si>
  <si>
    <t>1.3.1</t>
  </si>
  <si>
    <t>КОД ГРБС</t>
  </si>
  <si>
    <t>1кв.</t>
  </si>
  <si>
    <t>2кв.</t>
  </si>
  <si>
    <t>3кв.</t>
  </si>
  <si>
    <t>4кв.</t>
  </si>
  <si>
    <t>100</t>
  </si>
  <si>
    <t>212</t>
  </si>
  <si>
    <t>220</t>
  </si>
  <si>
    <t>221</t>
  </si>
  <si>
    <t>222</t>
  </si>
  <si>
    <t>223</t>
  </si>
  <si>
    <t>224</t>
  </si>
  <si>
    <t>0102</t>
  </si>
  <si>
    <t>0100</t>
  </si>
  <si>
    <t>МЕСТНАЯ АДМИНИСТРАЦИЯ МО МО ОЗЕРО ДОЛГОЕ</t>
  </si>
  <si>
    <t>ГЛАВА МУНИЦИПАЛЬНОГО ОБРАЗОВАНИЯ</t>
  </si>
  <si>
    <t>002  01 00</t>
  </si>
  <si>
    <t>092 04 00</t>
  </si>
  <si>
    <t>599</t>
  </si>
  <si>
    <t>ОБОРУДОВАНИЕ КОНТЕЙНЕРНЫХ ПЛОЩАДОК НА ТЕРРИТОРИЯХ ДВОРОВ</t>
  </si>
  <si>
    <t>600 02 01</t>
  </si>
  <si>
    <t>ЛИКВИДАЦИЯ НЕСАНКЦИОНИРОВАННЫХ СВАЛОК БЫТОВЫХ ОТХОДОВ И МУСОРА</t>
  </si>
  <si>
    <t>VII</t>
  </si>
  <si>
    <t>902</t>
  </si>
  <si>
    <t>512 00 00</t>
  </si>
  <si>
    <t>0300</t>
  </si>
  <si>
    <t>092 05 00</t>
  </si>
  <si>
    <t>ЗАДОЛЖЕННОСТЬ И ПЕРЕРАСЧЕТЫ ПО ОТМЕНЕННЫМ НАЛОГАМ,СБОРАМ И ИНЫМ ПЛАТЕЖАМ</t>
  </si>
  <si>
    <t>3</t>
  </si>
  <si>
    <t>5.2.1</t>
  </si>
  <si>
    <t>0103</t>
  </si>
  <si>
    <t>002  04 00</t>
  </si>
  <si>
    <t>0104</t>
  </si>
  <si>
    <t>002  05 00</t>
  </si>
  <si>
    <t>ДЕПУТАТЫ ПРЕДСТАВИТЕЛЬНОГО ОРГАНА МУНИЦИПАЛЬНОГО ОБРАЗОВАНИЯ</t>
  </si>
  <si>
    <t>НАЛОГОВЫЕ ДОХОДЫ</t>
  </si>
  <si>
    <t>НЕНАЛОГОВЫЕ ДОХОДЫ</t>
  </si>
  <si>
    <t>ФУНКЦИОНИРОВАНИЕ ПРАВИТЕЛЬСТВА РФ, ВЫСШИХ ОРГАНОВ ИСПОЛНИТЕЛЬНОЙ ВЛАСТИ СУБЪЕКТОВ РФ, МЕСТНЫХ АДМИНИСТРАЦИЙ</t>
  </si>
  <si>
    <t>Пессим прогноз на 2009 г.</t>
  </si>
  <si>
    <t>Оптим прогноз на 2009 г.</t>
  </si>
  <si>
    <t>% оцен. испол к плану 2008</t>
  </si>
  <si>
    <t>% прироста к 2008 г</t>
  </si>
  <si>
    <t>КБК</t>
  </si>
  <si>
    <t xml:space="preserve">Увеличение прочих остатков  средств бюджетов территориальных фондов обязательного медицинского страхования  , временно размещенных в ценные бумаги </t>
  </si>
  <si>
    <t>Уменьшение остатков средств бюджетов</t>
  </si>
  <si>
    <t>Уменьшение остатков финансовых резервов бюджетов</t>
  </si>
  <si>
    <t xml:space="preserve"> 1 05 02000 02 0000 110</t>
  </si>
  <si>
    <t>1 06 01010 03 0000 110</t>
  </si>
  <si>
    <t>Уменьшение остатков денежных средств финансовых резервов</t>
  </si>
  <si>
    <t>795 01 01</t>
  </si>
  <si>
    <t>795 01 02</t>
  </si>
  <si>
    <t>Уменьшение остатков денежных средств финансового резерва федерального бюджета</t>
  </si>
  <si>
    <t>Уменьшение остатков денежных средств Стабилизационного фонда Российской Федерации</t>
  </si>
  <si>
    <t>Уменьшение остатков денежных средств финансовых резервов бюджетов субъектов Российской Федерации</t>
  </si>
  <si>
    <t xml:space="preserve">Уменьшение остатков денежных средств финансовых резервов местных бюджетов </t>
  </si>
  <si>
    <t>Уменьшение остатков денежных средств финансового резерва бюджета Пенсионного фонда  Российской Федерации</t>
  </si>
  <si>
    <t>Уменьшение остатков денежных средств финансового резерва бюджета Фонда социального страхования Российской Федерации</t>
  </si>
  <si>
    <t>Уменьшение остатков денежных средств  резерва на осуществление обязательного социального страхования от несчастных случаев на производстве и профессиональных заболеваний</t>
  </si>
  <si>
    <t>2.1.2</t>
  </si>
  <si>
    <t>13</t>
  </si>
  <si>
    <t>14</t>
  </si>
  <si>
    <t>Доплаты к пенсиям государственных служащих субъектов Российской Федерации и муниципальных служащих</t>
  </si>
  <si>
    <t>13.1</t>
  </si>
  <si>
    <t>13.1.1</t>
  </si>
  <si>
    <t>14.1</t>
  </si>
  <si>
    <t>14.1.1</t>
  </si>
  <si>
    <t>0107</t>
  </si>
  <si>
    <t>118 03010 03 0000 180</t>
  </si>
  <si>
    <t>ВСЕГО РАСХОДОВ</t>
  </si>
  <si>
    <t>МЕСТНАЯ АДМИНИСТРАЦИЯ                                   МО МО ОЗЕРО ДОЛГОЕ</t>
  </si>
  <si>
    <t>МУНИЦИПАЛЬНЫЙ СОВЕТ                                     МО МО ОЗЕРО ДОЛГОЕ</t>
  </si>
  <si>
    <t xml:space="preserve">                                                          тыс. рублей</t>
  </si>
  <si>
    <t xml:space="preserve">N     </t>
  </si>
  <si>
    <t>Наименование         статьи бюджета укрупненного  до раздела</t>
  </si>
  <si>
    <t xml:space="preserve">ПРОГНОЗ ИСПОЛНЕНИЯ      </t>
  </si>
  <si>
    <t xml:space="preserve">I   </t>
  </si>
  <si>
    <t>квартал</t>
  </si>
  <si>
    <t xml:space="preserve">II   </t>
  </si>
  <si>
    <t xml:space="preserve">III  </t>
  </si>
  <si>
    <t xml:space="preserve">IV   </t>
  </si>
  <si>
    <t xml:space="preserve">А     </t>
  </si>
  <si>
    <t xml:space="preserve">Б                </t>
  </si>
  <si>
    <t xml:space="preserve">2=3+4+5+6 </t>
  </si>
  <si>
    <t>7 = 2 - 1</t>
  </si>
  <si>
    <t xml:space="preserve">Доходы                          </t>
  </si>
  <si>
    <t xml:space="preserve">Расходы                         </t>
  </si>
  <si>
    <t xml:space="preserve">Дефицит (профицит)              </t>
  </si>
  <si>
    <t>Бюджетные кредиты, полученные МО МО Озеро Долгое</t>
  </si>
  <si>
    <t>Ответственные исполнители:</t>
  </si>
  <si>
    <t xml:space="preserve">Уточненный план по бюджету  </t>
  </si>
  <si>
    <t>Прогноз  исполнения бюджета на год</t>
  </si>
  <si>
    <t>Отклонение от уточненного плана по бюджету</t>
  </si>
  <si>
    <t>Источники финансирования дефицита</t>
  </si>
  <si>
    <t>Бюджетные  кредиты,   предоставленные юридическим лицам из бюджета МО МО Озеро Долгое</t>
  </si>
  <si>
    <t>Возврат средств из бюджета МО МО Озеро Долгое в погашение долга по кредитам предоставленным</t>
  </si>
  <si>
    <t>Возврат средств в бюджет МО МО Озеро Долгое из кредитов  предоставленных</t>
  </si>
  <si>
    <t>КАССОВЫЙ ПЛАН ПО МЕСТНОМУ БЮДЖЕТУ  МО МО ОЗЕРО ДОЛГОЕ</t>
  </si>
  <si>
    <t>Главный бухгалтер МО МО Озеро Долгое                                        Начальник планово-бюджетного отдела</t>
  </si>
  <si>
    <t xml:space="preserve">Изменение  остатков  средств  на счетах  по  исполнению   бюджета ("+" - уменьшение, "-" -  увеличение)               
</t>
  </si>
  <si>
    <t xml:space="preserve">Прогноз  остатка  на  счетах  по исполнению  бюджета  на   начало периода                         
</t>
  </si>
  <si>
    <t xml:space="preserve">Прогноз  остатка  на  счетах  по исполнению  бюджета   на   конец периода                         
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</si>
  <si>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</si>
  <si>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 xml:space="preserve">Субвенции бюджетам  муниципальных образований на содержание ребенка в семье опекуна и приемной семье ,а также  вознаграждение, причитающееся приемному родителю </t>
  </si>
  <si>
    <t>202 03024 03 0000 151</t>
  </si>
  <si>
    <t>1.1.</t>
  </si>
  <si>
    <t>1.1.2.1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</si>
  <si>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</si>
  <si>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ЗАДОЛЖЕННОСТЬ И ПЕРЕРАСЧЕТЫ ПО ОТМЕНЕННЫМ НАЛОГАМ,СБОРАМ И ИНЫМ  ОБЯЗАТЕЛЬНЫМ ПЛАТЕЖАМ</t>
  </si>
  <si>
    <t>Средства,составляющие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</si>
  <si>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Субвенции местным бюджетам на выполнение передаваемых полномочий субъектов Росийской Федерации</t>
  </si>
  <si>
    <t>Субвенции местным бюджетам на выполнение передаваемых полномочий субъектов Российской Федерации</t>
  </si>
  <si>
    <t xml:space="preserve"> ВОЗНАГРАЖДЕНИЕ, ПРИЧИТАЮЩЕЕСЯ ПРИЕМНОМУ РОДИТЕЛЮ</t>
  </si>
  <si>
    <t>092 02 00</t>
  </si>
  <si>
    <t>002  04 01</t>
  </si>
  <si>
    <t>092 00 04</t>
  </si>
  <si>
    <t>РАСХОДЫ НА ПРОВЕДЕНИЕ ПУБЛИЧНЫХ СЛУШАНИЙ И СОБРАНИЙ ГРАЖДАН</t>
  </si>
  <si>
    <t>1.3. Безвозмездные и безвозвратные перечисления</t>
  </si>
  <si>
    <t>1.3.1. Межбюджетные трансферты от бюджетов других уровней</t>
  </si>
  <si>
    <t>(без учета субвенций из бюджетов других уровней)</t>
  </si>
  <si>
    <t>1.4. Доходы от предпринимательской и иной приносящей доход деятельности</t>
  </si>
  <si>
    <t>2. Расходы, всего</t>
  </si>
  <si>
    <t>2.1. Общегосударственные вопросы</t>
  </si>
  <si>
    <t>ИТОГО ДОХОДОВ</t>
  </si>
  <si>
    <t xml:space="preserve"> 01 05 00 00 00 0000 000</t>
  </si>
  <si>
    <t xml:space="preserve"> 01 05 00 00 00 0000 500</t>
  </si>
  <si>
    <t>01 05 02 00 00 0000 500</t>
  </si>
  <si>
    <t xml:space="preserve"> 01 05 02 01 00 0000 510</t>
  </si>
  <si>
    <t xml:space="preserve"> 01 05 02 01 03 0000 510</t>
  </si>
  <si>
    <t xml:space="preserve"> 01 05 00 00 00 0000 600</t>
  </si>
  <si>
    <t xml:space="preserve"> 01 05 02 00 00 0000 600</t>
  </si>
  <si>
    <t xml:space="preserve"> 01 05 02 01 00 0000 610</t>
  </si>
  <si>
    <t xml:space="preserve"> 01 05 02 01 03 0000 610</t>
  </si>
  <si>
    <t>2.1.1. Содержание органов местного самоуправления</t>
  </si>
  <si>
    <t>2.1.3. Резервные фонды</t>
  </si>
  <si>
    <t>2.2. Национальная безопасность и правоохранительная деятельность</t>
  </si>
  <si>
    <t>2.3. Жилищно-коммунальное хозяйство</t>
  </si>
  <si>
    <t>2.4. Охрана окружающей среды</t>
  </si>
  <si>
    <t>2.5. Образование</t>
  </si>
  <si>
    <t>2.6. Культура, кинематография и средства массовой информации</t>
  </si>
  <si>
    <t>2а. Из общего объема расходов:</t>
  </si>
  <si>
    <t>2а.1. Расходы текущего характера</t>
  </si>
  <si>
    <t>2а.2. Расходы капитального характера</t>
  </si>
  <si>
    <t xml:space="preserve">3. Дефицит бюджета (–); Профицит бюджета (+) </t>
  </si>
  <si>
    <t>4. Источники финансирования дефицита бюджета</t>
  </si>
  <si>
    <t>4.1. Изменение остатков средств бюджета на счетах в банках (уменьшение (+), увеличение (–))</t>
  </si>
  <si>
    <t>4.2. Бюджетные кредиты</t>
  </si>
  <si>
    <t>5. Муниципальный долг</t>
  </si>
  <si>
    <t>968</t>
  </si>
  <si>
    <t>исполнено</t>
  </si>
  <si>
    <t>Показатели</t>
  </si>
  <si>
    <t>Отчетный финансовый год</t>
  </si>
  <si>
    <t>Текущий финансовый  год</t>
  </si>
  <si>
    <t>Очередной финансовый год</t>
  </si>
  <si>
    <t xml:space="preserve"> 1 16 00000 00 0000 000</t>
  </si>
  <si>
    <t xml:space="preserve"> 1 16 06000 01 0000 140</t>
  </si>
  <si>
    <t xml:space="preserve"> 2 00 00000 00 0000 000</t>
  </si>
  <si>
    <t>2 02 00000 00 0000 000</t>
  </si>
  <si>
    <t>(код источников доходов)</t>
  </si>
  <si>
    <t xml:space="preserve"> 1 05 01000 00 0000 110</t>
  </si>
  <si>
    <t xml:space="preserve"> 1 06 01000 00 0000 110</t>
  </si>
  <si>
    <t>1 17 05030 03 0200 180</t>
  </si>
  <si>
    <t>1.7</t>
  </si>
  <si>
    <t>1.7.1</t>
  </si>
  <si>
    <t>I</t>
  </si>
  <si>
    <t>II</t>
  </si>
  <si>
    <t>III</t>
  </si>
  <si>
    <t>IV</t>
  </si>
  <si>
    <t>V</t>
  </si>
  <si>
    <t>VI</t>
  </si>
  <si>
    <t>1.3</t>
  </si>
  <si>
    <t>4</t>
  </si>
  <si>
    <t>4.1</t>
  </si>
  <si>
    <t>4.2</t>
  </si>
  <si>
    <t>4.2.1</t>
  </si>
  <si>
    <t>1 17 01000 00 0000 180</t>
  </si>
  <si>
    <t>Невыясненные поступления</t>
  </si>
  <si>
    <t>1 17 01030 03 0000 180</t>
  </si>
  <si>
    <t>4.2.1.</t>
  </si>
  <si>
    <t>№ п.п.</t>
  </si>
  <si>
    <t>Доходы от реализации имущества,находящегося в собственности внутригородских муниципальных образований городов федерального значения Москвы и Санкт-Петербурга ( за исключением имущества автономных учреждений,а также имущества государственных и муниципальных унитарных предприятий,в том числе казенных),в части реализации основных средств по указанному имуществу</t>
  </si>
  <si>
    <t>Увеличение остатков денежных средств финансового резерва бюджета Пенсионного фонда  Российской Федерации</t>
  </si>
  <si>
    <t>000 08 01 01 00 07 0000 510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</si>
  <si>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</si>
  <si>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000 08 01 01 00 07 0001 510</t>
  </si>
  <si>
    <t>Увеличение остатков денежных средств  резерва на осуществление обязательного социального страхования от несчастных случаев на производстве и профессиональных заболеваний</t>
  </si>
  <si>
    <t>000 08 01 01 00 07 0002 510</t>
  </si>
  <si>
    <t>Увеличение остатков денежных средств прочих финансовых резервов бюджета Фонда социального страхования Российской Федерации</t>
  </si>
  <si>
    <t>000 08 01 01 00 08 0000 510</t>
  </si>
  <si>
    <t xml:space="preserve">Увеличение остатков денежных средств финансового резерва бюджета Федерального фонда обязательного медицинского страхования </t>
  </si>
  <si>
    <t>000 08 01 01 00 09 0000 510</t>
  </si>
  <si>
    <t xml:space="preserve">Увеличение остатков денежных средств финансовых резервов бюджетов территориальных фондов обязательного медицинского страхования </t>
  </si>
  <si>
    <t>000 08 01 02 00 00 0000 510</t>
  </si>
  <si>
    <t>Увеличение остатков  средств финансовых резервов бюджетов Российской Федерации, размещенных в ценные бумаги</t>
  </si>
  <si>
    <t>000 08 01 02 00 01 0000 510</t>
  </si>
  <si>
    <t>Увеличение остатков  средств финансового резерва федерального бюджета, размещенных в ценные бумаги</t>
  </si>
  <si>
    <t>000 08 01 02 00 01 0001 510</t>
  </si>
  <si>
    <t>Доходы от сдачи в аренду имущества,находящегося в оперативном управлении органов государственной власти,органов местного самоуправления,государственных внебюджетных фондов и созданных ими учреждений и в хозяйственном ведении федеральных государственных унитарных предприятий и  муниципальных унитарных предприятий</t>
  </si>
  <si>
    <t>Культура</t>
  </si>
  <si>
    <t>Периодическая печать и издательства</t>
  </si>
  <si>
    <t>Пенсионное обеспечение</t>
  </si>
  <si>
    <t>490 00 00</t>
  </si>
  <si>
    <t>ПЕНСИИ</t>
  </si>
  <si>
    <t>457 03 00</t>
  </si>
  <si>
    <t>СОЗДАНИЕ УСЛОВИЙ ДЛЯ РАЗВИТИЯ НА ТЕРРИТОРИИ МУНИЦИПАЛЬНОГО ОБРАЗОВАНИЯ  МАССОВОЙ ФИЗИЧЕСКОЙ КУЛЬТУРЫ И СПОРТА</t>
  </si>
  <si>
    <t>Охрана семьи и детства</t>
  </si>
  <si>
    <t>Другие виды прочих доходов от оказания платных услуг получателями средств бюджетов внутригородских муниципальных образований Санкт-Петербурга  и компенсации затрат бюджетов внутригородских муниципальных образований Санкт-Петербурга</t>
  </si>
  <si>
    <t>113 03030 03 0200 130</t>
  </si>
  <si>
    <t>А</t>
  </si>
  <si>
    <t>1.3.1.1</t>
  </si>
  <si>
    <t>1.4.1.1</t>
  </si>
  <si>
    <t>1.5</t>
  </si>
  <si>
    <t>1.5.1</t>
  </si>
  <si>
    <t>1.5.1.1</t>
  </si>
  <si>
    <t>1.6</t>
  </si>
  <si>
    <t>1.6.1</t>
  </si>
  <si>
    <t>600 03 01</t>
  </si>
  <si>
    <t>ОЗЕЛЕНЕНИЕ  ТЕРРИТОРИЙ МУНИЦИПАЛЬНОГО ОБРАЗОВАНИЯ</t>
  </si>
  <si>
    <t>600 03 00</t>
  </si>
  <si>
    <t>600 03 02</t>
  </si>
  <si>
    <t>600 04 00</t>
  </si>
  <si>
    <t>600 04 01</t>
  </si>
  <si>
    <t>Увеличение прочих остатков  средств бюджетов  субъектов Российской  Федерации, временно размещенных в ценные бумаги</t>
  </si>
  <si>
    <t>000 08 02 02 00 06 0000 510</t>
  </si>
  <si>
    <t>Штрафы за нарушение правил торговли, предусмотренные Законом Санкт-Петербурга "Об административной ответственности за продажу товаров в неустановленных местах"</t>
  </si>
  <si>
    <t>Невыясненные поступления, зачисляемые в  бюджеты внутригородских муниципальных образований городов федерального значения Москвы и Санкт-Петербурга</t>
  </si>
  <si>
    <t>3.1.1.1</t>
  </si>
  <si>
    <t>070  00 00</t>
  </si>
  <si>
    <t>5.</t>
  </si>
  <si>
    <t>5.1</t>
  </si>
  <si>
    <t>6.1</t>
  </si>
  <si>
    <t>ФУНКЦИОНИРОВАНИЕ   ЗАКОНОДАТЕЛЬНЫХ ОРГАНОВ ГОСУДАРСТВЕННОЙ ВЛАСТИ И МЕСТНОГО САМОУПРАВЛЕНИЯ</t>
  </si>
  <si>
    <t>005</t>
  </si>
  <si>
    <t>184</t>
  </si>
  <si>
    <t>219 00 00</t>
  </si>
  <si>
    <t>1</t>
  </si>
  <si>
    <t>1.2.1</t>
  </si>
  <si>
    <t>1.2.1.1</t>
  </si>
  <si>
    <t>600 04 02</t>
  </si>
  <si>
    <t>ОРГАНИЗАЦИЯ ПАРКОВОК И АВТОСТОЯНОК НА ТЕРРИТОРИИ МУНИЦИПАЛЬНОГО ОБРАЗОВАНИЯ</t>
  </si>
  <si>
    <t>600 04 04</t>
  </si>
  <si>
    <t>ОХРАНА ОКРУЖАЮЩЕЙ СРЕДЫ</t>
  </si>
  <si>
    <t>0600</t>
  </si>
  <si>
    <t>0605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</si>
  <si>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</si>
  <si>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</si>
  <si>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410 01 00</t>
  </si>
  <si>
    <t>Увеличение остатков  средств финансового резерва бюджета Пенсионного фонда Российской Федерации, размещенных в ценные бумаги</t>
  </si>
  <si>
    <t>000 08 01 02 00 07 0000 510</t>
  </si>
  <si>
    <t>Увеличение остатков  средств финансового резерва бюджета Фонда социального страхования Российской Федерации, размещенных в ценные бумаги</t>
  </si>
  <si>
    <t>000 08 01 02 00 08 0000 510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</si>
  <si>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</si>
  <si>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000 08 01 02 00 09 0000 510</t>
  </si>
  <si>
    <t>Увеличение остатков  средств финансовых резервов бюджетов территориальных фондов обязательного медицинского страхования Российской Федерации, размещенных в ценные бумаги</t>
  </si>
  <si>
    <t>Увеличение прочих  остатков средств бюджетов</t>
  </si>
  <si>
    <t>000 08 02 01 00 00 0000 510</t>
  </si>
  <si>
    <t>Увеличение прочих остатков денежных средств бюджетов</t>
  </si>
  <si>
    <t>000 08 02 01 00 01 0000 510</t>
  </si>
  <si>
    <t>Увеличение прочих остатков денежных средств федерального бюджета</t>
  </si>
  <si>
    <t>000 08 02 01 00 02 0000 510</t>
  </si>
  <si>
    <t>Увеличение прочих остатков денежных средств бюджетов субъектов Российской Федерации</t>
  </si>
  <si>
    <t>000 08 02 01 00 03 0000 510</t>
  </si>
  <si>
    <t xml:space="preserve">Увеличение  остатков денежных средств местных бюджетов </t>
  </si>
  <si>
    <t>000 08 02 01 00 06 0000 510</t>
  </si>
  <si>
    <t>Увеличение  остатков  средств пенсионных накоплений бюджета Пенсионного фонда Российской Федерации</t>
  </si>
  <si>
    <t>000 08 02 01 00 06 0001 510</t>
  </si>
  <si>
    <t>Увеличение остатков денежных средств пенсионных накоплений бюджета Пенсионного фонда Российской Федерации</t>
  </si>
  <si>
    <t>000 08 02 01 00 06 0002 510</t>
  </si>
  <si>
    <t>202 03027 00 0000 151</t>
  </si>
  <si>
    <t>202 03027 03 0000 151</t>
  </si>
  <si>
    <t xml:space="preserve">Увеличение  остатков  средств пенсионных накоплений бюджета Пенсионного фонда Российской Федерации, временно размещенных в ценные бумаги переданных управляющим компаниям </t>
  </si>
  <si>
    <t>000 08 02 02 00 07 0000 510</t>
  </si>
  <si>
    <t>Увеличение прочих остатков  денежных средств бюджета Фонда социального страхования Российской Федерации, временно размещенных в ценные бумаги</t>
  </si>
  <si>
    <t>000 08 02 02 00 07 0001 510</t>
  </si>
  <si>
    <t>Уменьшение остатков  средств финансовых резервов бюджетов территориальных фондов обязательного медицинского страхования, размещенных в ценные бумаги</t>
  </si>
  <si>
    <t>351  90 02</t>
  </si>
  <si>
    <t>351 90 02</t>
  </si>
  <si>
    <t>ФУНКЦИОНИРОВАНИЕ   ВЫСШЕГО ДОЛЖНОСТНОГО ЛИЦА ОРГАНА  МЕСТНОГО САМОУПРАВЛЕНИЯ</t>
  </si>
  <si>
    <t>010</t>
  </si>
  <si>
    <t>4.2.</t>
  </si>
  <si>
    <t>4.2.1.1</t>
  </si>
  <si>
    <t>4.2.1.1.1</t>
  </si>
  <si>
    <t>РАСХОДЫ ПО РАЗМЕЩЕНИЮ МУНИЦИПАЛЬНОГО ЗАКАЗА</t>
  </si>
  <si>
    <t>4.3.1.1</t>
  </si>
  <si>
    <t>4.3.1.1.1</t>
  </si>
  <si>
    <t>РАСХОДЫ ИЗ СРЕДСТВ ЦЕЛЕВОЙ СУБВЕНЦИИ БЮДЖЕТУ МУНИЦИПАЛЬНОГО ОБРАЗОВАНИЯ ОЗЕРО ДОЛГОЕ НА "МУНИЦИПАЛЬНЫЕ ЦЕЛЕВЫЕ ПРОГРАММЫ ПО БЛАГОУСТРОЙСТВУ, ОРГАНИЗАЦИЮ ДОПОЛНИТЕЛЬНЫХ ПАРКОВОЧНЫХ МЕСТ. УСТАНОВКУ И РЕМОНТ ОГРАЖДЕНИЙ ГАЗОНОВ, , СОЗДАНИЕ ЗОН ОТДЫХА, ОФОРМЛЕНИЕ К ПРАЗДНИЧНЫМ МЕРОПРИЯТИЯМ, ОБУСТРОЙСТВО И СОДЕРЖАНИЕ СПОРТИВНО-ДЕТСКИХ ПЛОЩАДОК"</t>
  </si>
  <si>
    <t>Уменьшение прочих 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</si>
  <si>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</si>
  <si>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федерального бюджета</t>
  </si>
  <si>
    <t>Выполнение отдельных государственных полномочий за счет субвенций из фонда компенсаций Санкт-Петербурга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</si>
  <si>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</si>
  <si>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ИСТОЧНИКИ ВНУТРЕННЕГО ФИНАНСИРОВАНИЯ ДЕФИЦИТОВ БЮДЖЕТОВ</t>
  </si>
  <si>
    <t xml:space="preserve">Налог на имущество физических лиц, взимаемый по ставкам,применяемым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 </t>
  </si>
  <si>
    <t>ПРЕДУПРЕЖДЕНИЕ И ЛИКВИДАЦИЯ ПОСЛЕДСТВИЙ ЧС  И СТИХИЙНЫХ БЕДСТВИЙ,ГРАЖДАНСКАЯ ОБОРОНА</t>
  </si>
  <si>
    <t>5.2</t>
  </si>
  <si>
    <t>6.2</t>
  </si>
  <si>
    <t>1.1.1.1.</t>
  </si>
  <si>
    <t>8</t>
  </si>
  <si>
    <t>Уменьшение остатков денежных средств прочих финансовых резервов бюджета Фонда социального страхования Российской Федерации</t>
  </si>
  <si>
    <t xml:space="preserve">Уменьшение остатков денежных средств финансового резерва бюджета Федерального фонда обязательного медицинского страхования </t>
  </si>
  <si>
    <t>Уменьшение остатков денежных средств финансовых резервов бюджетов территориальных фондов обязательного медицинского страхования</t>
  </si>
  <si>
    <t>Уменьшение остатков  средств финансовых резервов, размещенных в ценные бумаги</t>
  </si>
  <si>
    <t xml:space="preserve">Уменьшение остатков  средств финансового резерва федерального бюджета, размещенных в ценные бумаги </t>
  </si>
  <si>
    <t>1 09 04000 00 0000 110</t>
  </si>
  <si>
    <t>Налоги на имущество</t>
  </si>
  <si>
    <t>Уменьшение остатков  средств  Стабилизационного фонда Российской Федерации, размещенных в ценные бумаги</t>
  </si>
  <si>
    <t>4.3</t>
  </si>
  <si>
    <t>4.3.1.</t>
  </si>
  <si>
    <t xml:space="preserve">Уменьшение остатков  средств финансовых резервов бюджетов субъектов Российской Федерации, размещенных в ценные бумаги </t>
  </si>
  <si>
    <t xml:space="preserve">Уменьшение остатков  средств финансовых резервов местных бюджетов, размещенных в ценные бумаги </t>
  </si>
  <si>
    <t>Уменьшение остатков  средств финансового резерва бюджета Пенсионного фонда Российской Федерации, размещенных в ценные бумаги</t>
  </si>
  <si>
    <t xml:space="preserve"> 01 00 00 00 00 0000 000</t>
  </si>
  <si>
    <t>Уменьшение остатков  средств финансового резерва бюджета Фонда социального страхования Российской Федерации, размещенных в ценные бумаги</t>
  </si>
  <si>
    <t>Оценка поступления доходов в 2008 году и прогноз на 2009 год</t>
  </si>
  <si>
    <t>план 2008</t>
  </si>
  <si>
    <t>Оценочное исполнение</t>
  </si>
  <si>
    <t>Уменьшение остатков  средств финансового резерва бюджета Федерального фонда обязательного медицинского страхования, размещенных в ценные бумаги</t>
  </si>
  <si>
    <t>3 кв.</t>
  </si>
  <si>
    <t>4 кв.</t>
  </si>
  <si>
    <t>225</t>
  </si>
  <si>
    <t>226</t>
  </si>
  <si>
    <t>500</t>
  </si>
  <si>
    <t>216</t>
  </si>
  <si>
    <t>1004</t>
  </si>
  <si>
    <t>Выплата ежемесячного пособия на детей ,находящихся под опекой</t>
  </si>
  <si>
    <t>2</t>
  </si>
  <si>
    <t>ВСЕГО</t>
  </si>
  <si>
    <t>Наименование</t>
  </si>
  <si>
    <t>1 кв.</t>
  </si>
  <si>
    <t>2 кв.</t>
  </si>
  <si>
    <t>социальная политика</t>
  </si>
  <si>
    <t>источники финансирования</t>
  </si>
  <si>
    <t>субвенции</t>
  </si>
  <si>
    <t>Доходы, в т.ч.</t>
  </si>
  <si>
    <t>благоустройство</t>
  </si>
  <si>
    <t>Справочно: в % от общего объема</t>
  </si>
  <si>
    <t>Справочно: в % от объема без субвенций</t>
  </si>
  <si>
    <t>092 00 01</t>
  </si>
  <si>
    <t>092 00 03</t>
  </si>
  <si>
    <t>Увеличение прочих остатков 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</si>
  <si>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000 08 02 02 00 08 0000 510</t>
  </si>
  <si>
    <t xml:space="preserve">Увеличение прочих остатков  средств бюджета Федерального фонда обязательного медицинского страхования , временно размещенных в ценные бумаги </t>
  </si>
  <si>
    <t>000 08 02 02 00 09 0000 510</t>
  </si>
  <si>
    <t>1. Доходы, всего</t>
  </si>
  <si>
    <t>в том числе:</t>
  </si>
  <si>
    <t>1.1 .Налоговые доходы</t>
  </si>
  <si>
    <t>1.2. Неналоговые доходы</t>
  </si>
  <si>
    <t xml:space="preserve">Приложение 1 </t>
  </si>
  <si>
    <t xml:space="preserve">Среднесрочный (перспективный) финансовый план  </t>
  </si>
  <si>
    <t>на 2008-2010 годы</t>
  </si>
  <si>
    <t>от</t>
  </si>
  <si>
    <t>№</t>
  </si>
  <si>
    <t xml:space="preserve">к Распоряжению Главы МА МО МО Озеро Долгое             </t>
  </si>
  <si>
    <t>Муниципального образования Муниципальный округ Озеро Долгое</t>
  </si>
  <si>
    <t>собственные</t>
  </si>
  <si>
    <t>год</t>
  </si>
  <si>
    <t>Изменение остатков средств на счетах по учету средств бюджета</t>
  </si>
  <si>
    <t>118 00000 00 0000 000</t>
  </si>
  <si>
    <t>ДОХОДЫ ОТ ОКАЗАНИЯ ПЛАТНЫХ УСЛУГ И КОМПЕНСАЦИИ ЗАТРАТ ГОСУДАРСТВА</t>
  </si>
  <si>
    <t xml:space="preserve"> 1 13 00000 00 0000 000</t>
  </si>
  <si>
    <t xml:space="preserve"> 1 13 03000 00 0000 130</t>
  </si>
  <si>
    <t>Прочие доходы от оказания платных услуг и компенсации затрат государства</t>
  </si>
  <si>
    <t>811</t>
  </si>
  <si>
    <t>113 03030 03 0000 130</t>
  </si>
  <si>
    <t>ИЗБИРАТЕЛЬНАЯ КОМИССИЯ МУНИЦИПАЛЬНОГО ОБРАЗОВАНИЯ МУНИЦИПАЛЬНЫЙ ОКРУГ ОЗЕРО ДОЛГОЕ</t>
  </si>
  <si>
    <t>917</t>
  </si>
  <si>
    <t>1 17 05000 00 0000 180</t>
  </si>
  <si>
    <t>Прочие неналоговые доходы</t>
  </si>
  <si>
    <t xml:space="preserve"> 1 17 00000 00 0000 000</t>
  </si>
  <si>
    <t>ПРОЧИЕ НЕНАЛОГОВЫЕ ДОХОДЫ</t>
  </si>
  <si>
    <t>860</t>
  </si>
  <si>
    <t xml:space="preserve"> МЕРОПРИЯТИЯ ПО БЛАГОУСТРОЙСТВУ ДВОРОВЫХ И ПРИДОМОВЫХ ТЕРРИТОРИЙ</t>
  </si>
  <si>
    <t>202 03024 03 0100 151</t>
  </si>
  <si>
    <t>202 03024 03 0200 151</t>
  </si>
  <si>
    <t>НАЦИОНАЛЬНАЯ ЭКОНОМИКА</t>
  </si>
  <si>
    <t>Другие вопросы в области национальной экономики</t>
  </si>
  <si>
    <t>345 01 00</t>
  </si>
  <si>
    <t>МЕРОПРИЯТИЯ ПО СОДЕЙСТВИЮ РАЗВИТИЮ МАЛОГО БИЗНЕСА НА ТЕРРИТОРИИ МУНИЦИПАЛЬНОГО ОБРАЗОВАНИЯ</t>
  </si>
  <si>
    <t xml:space="preserve"> ФИЗИЧЕСКАЯ КУЛЬТУРА И СПОРТ</t>
  </si>
  <si>
    <t>Массовый спорт</t>
  </si>
  <si>
    <t>СРЕДСТВА МАССОВОЙ ИНФОРМАЦИИ</t>
  </si>
  <si>
    <t>ОРГАНИЗАЦИЯ ИНФОРМИРОВАНИЯ,КОНСУЛЬТИРОВАНИЯ И СОДЕЙСТВИЯ ЖИТЕЛЯМ МУНИЦИПАЛЬНОГО ОБРАЗОВАНИЯ ПО ВОПРОСАМ СОЗДАНИЯ ТСЖ</t>
  </si>
  <si>
    <t>600 04 03</t>
  </si>
  <si>
    <t>ФОРМИРОВАНИЕ И РАЗМЕЩЕНИЕ МУНИЦИПАЛЬНОГО ЗАКАЗА</t>
  </si>
  <si>
    <t>УЧАСТИЕ В ОРГАНИЗАЦИИ И ФИНАНСИРОВАНИИ ВРЕМЕННОГО ТРУДОУСТРОЙСТВА НЕСОВЕРШЕННОЛЕТНИХ</t>
  </si>
  <si>
    <t>0412</t>
  </si>
  <si>
    <t>0400</t>
  </si>
  <si>
    <t>ОРГАНИЗАЦИЯ И ПРОВЕДЕНИЕ МЕРОПРИЯТИЙ ПО СОХРАНЕНИЮ И РАЗВИТИЮ МЕСТНЫХ ТРАДИЦИЙ И ОБРЯДОВ</t>
  </si>
  <si>
    <t>IX</t>
  </si>
  <si>
    <t>X</t>
  </si>
  <si>
    <t>5.4</t>
  </si>
  <si>
    <t>5.4.1</t>
  </si>
  <si>
    <t>5.5</t>
  </si>
  <si>
    <t>5.5.1</t>
  </si>
  <si>
    <t>8.4.3</t>
  </si>
  <si>
    <t>8.4.3.1</t>
  </si>
  <si>
    <t>13.2</t>
  </si>
  <si>
    <t>13.2.1</t>
  </si>
  <si>
    <t>УСТАНОВКА И СОДЕРЖАНИЕ МАЛЫХ АРХИТЕКТУРНЫХ ФОРМ, УЛИЧНОЙ МЕБЕЛИ И ХОЗЯЙСТВЕННОГО-БЫТОВОГО ОБОРУДОВАНИЯ,НЕОБХОДИМОГО ДЛЯ БЛАГОУСТРОЙСТВА ТЕРРИТОРИИ МУНИЦИПАЛЬНОГО ОБРАЗОВАНИЯ</t>
  </si>
  <si>
    <t xml:space="preserve">КУЛЬТУРА, КИНЕМАТОГРАФИЯ </t>
  </si>
  <si>
    <t xml:space="preserve"> 1 05 01011 01 0000 110</t>
  </si>
  <si>
    <t xml:space="preserve"> 1 05 01012 01 0000 110</t>
  </si>
  <si>
    <t xml:space="preserve"> 1 05 01021 01 0000 110</t>
  </si>
  <si>
    <t xml:space="preserve"> 1 05 01022 01 0000 110</t>
  </si>
  <si>
    <t>Налог, взимаемый с налогоплательщиков, выбравших в качестве объекта налогообложения доходы (за налоговые периоды,истекшие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</si>
  <si>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периоды,истекшие до 1 января 2011 года)</t>
  </si>
  <si>
    <t xml:space="preserve"> 1 05 02010 02 0000 110</t>
  </si>
  <si>
    <t xml:space="preserve"> 1 05 02020 02 0000 110</t>
  </si>
  <si>
    <t>Единый налог на вмененный доход для отдельных видов деятельности(за налоговые периоды,истекшие до 1 января 2011 года)</t>
  </si>
  <si>
    <t>867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</si>
  <si>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</si>
  <si>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
Федерации, местных администраций
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</si>
  <si>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</si>
  <si>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Защита населения и территории от чрезвычайных ситуаций  природного и техногенного характера, гражданская оборона</t>
  </si>
  <si>
    <t>0113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</si>
  <si>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</si>
  <si>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 высших исполнительных органов государственной власти субъектов Российской
Федерации, местных администраций
 местных администраций</t>
  </si>
  <si>
    <t xml:space="preserve">182 </t>
  </si>
  <si>
    <t>105 01050 01 1000 110</t>
  </si>
  <si>
    <t xml:space="preserve">Минимальный налог, зачисляемый в бюджеты  субъектов Российской Федерации
</t>
  </si>
  <si>
    <t>105 01050 01 0000 110</t>
  </si>
  <si>
    <t>Субсидии некоммерческим организациям</t>
  </si>
  <si>
    <t xml:space="preserve">Безвозмездные перечисления организациям, за исключением государственных и муниципальных организаций
</t>
  </si>
  <si>
    <t>Общеэкономические вопросы</t>
  </si>
  <si>
    <t>510 02 00</t>
  </si>
  <si>
    <t>8.1.1.</t>
  </si>
  <si>
    <t>9.1.1.1</t>
  </si>
  <si>
    <t>9.1.2</t>
  </si>
  <si>
    <t>9.1.2.1</t>
  </si>
  <si>
    <t>9.1.3</t>
  </si>
  <si>
    <t>9.1.3.1</t>
  </si>
  <si>
    <t>9.2</t>
  </si>
  <si>
    <t>9.2.1</t>
  </si>
  <si>
    <t>9.2.1.1</t>
  </si>
  <si>
    <t>9.2.2</t>
  </si>
  <si>
    <t>9.2.2.1</t>
  </si>
  <si>
    <t>9.2.3</t>
  </si>
  <si>
    <t>9.2.3.1</t>
  </si>
  <si>
    <t>9.3</t>
  </si>
  <si>
    <t>9.3.1</t>
  </si>
  <si>
    <t>9.3.1.1</t>
  </si>
  <si>
    <t>9.3.2</t>
  </si>
  <si>
    <t>9.3.2.1</t>
  </si>
  <si>
    <t>9.3.3</t>
  </si>
  <si>
    <t>9.3.3.1</t>
  </si>
  <si>
    <t>9.4</t>
  </si>
  <si>
    <t>9.4.1</t>
  </si>
  <si>
    <t>9.4.1.1</t>
  </si>
  <si>
    <t>9.4.2</t>
  </si>
  <si>
    <t>9.4.2.1</t>
  </si>
  <si>
    <t>11.2</t>
  </si>
  <si>
    <t>11.2.1</t>
  </si>
  <si>
    <t>14.2</t>
  </si>
  <si>
    <t>14.2.1</t>
  </si>
  <si>
    <t>5.6</t>
  </si>
  <si>
    <t>5.6.1</t>
  </si>
  <si>
    <t>Социальное обеспечение населения</t>
  </si>
  <si>
    <t>РАСХОДЫ НА ПРЕДОСТАВЛЕНИЕ ДОПЛАТ К ПЕНСИИ ЛИЦАМ, ЗАМЕЩАВШИМ ДОЛЖНОСТИ МУНИЦИПАЛЬНОЙ СЛУЖБЫ</t>
  </si>
  <si>
    <t>505 01 00</t>
  </si>
  <si>
    <t>Пенсии, пособия, выплачиваемые организациями сектора государственного управления</t>
  </si>
  <si>
    <t>1003</t>
  </si>
  <si>
    <t>12.2</t>
  </si>
  <si>
    <t>12.2.1</t>
  </si>
  <si>
    <t>17</t>
  </si>
  <si>
    <t>17.1</t>
  </si>
  <si>
    <t>17.1.1</t>
  </si>
  <si>
    <t>к бюджету от 30.11.2011</t>
  </si>
  <si>
    <t>Приложение 1</t>
  </si>
  <si>
    <t>ДОХОДЫ ОТ ОКАЗАНИЯ ПЛАТНЫХ УСЛУГ (РАБОТ) И КОМПЕНСАЦИИ ЗАТРАТ ГОСУДАРСТВА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</si>
  <si>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</si>
  <si>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Штрафы за административные правонарушения в области благоустройства, предусмотренные главой 4  Закона Санкт-Петербурга "Об административных правонарушениях в Санкт-Петербурге"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</si>
  <si>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 "Об административных правонарушениях в Санкт-Петербурге"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</si>
  <si>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</si>
  <si>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Штрафы за административные правонарушения в области благоустройства, предусмотренные главой 4  Закона Санкт-Петербурга  "Об административных правонарушениях в Санкт-Петербурге"</t>
  </si>
  <si>
    <t>по расходам и источникам финансирования дефицита бюджета на 2012 год</t>
  </si>
  <si>
    <t>Расходы на выплаты персоналу органов местного самоуправления</t>
  </si>
  <si>
    <t>Уплата налогов, сборов, и иных платежей</t>
  </si>
  <si>
    <t>Иные закупки товаров, работ и услуг для муниципальных нужд</t>
  </si>
  <si>
    <t>Резервные средства</t>
  </si>
  <si>
    <t xml:space="preserve">Субсидии юридическим лицам(кроме муниципальных учреждений) и физическим лицам-производителям товаров, работ, услуг
</t>
  </si>
  <si>
    <t xml:space="preserve">Предоставление платежей, взносов, безвозмездных перечислений
</t>
  </si>
  <si>
    <t>120</t>
  </si>
  <si>
    <t>к бюджету от 14.03.2012</t>
  </si>
  <si>
    <t>2.2.2</t>
  </si>
  <si>
    <t>2.2.3</t>
  </si>
  <si>
    <t>3.2.1.2</t>
  </si>
  <si>
    <t>3.2.1.3</t>
  </si>
  <si>
    <t>630</t>
  </si>
  <si>
    <t>850</t>
  </si>
  <si>
    <t xml:space="preserve"> 1 13 02000 00 0000 130</t>
  </si>
  <si>
    <t>113 02993 03 0000 130</t>
  </si>
  <si>
    <t>113 02993 03 0100 130</t>
  </si>
  <si>
    <t>КОМПЕСАЦИЯ  ДЕПУТАТАМ, ОСУЩЕСТВЛЯЮЩИМ СВОИ ПОЛНОМОЧИЯ НА НЕПОСТОЯННОЙ ОСНОВЕ</t>
  </si>
  <si>
    <t>МЕСТНАЯ АДМИНИСТРАЦИЯ</t>
  </si>
  <si>
    <t>090 01 00</t>
  </si>
  <si>
    <t>ФОРМИРОВАНИЕ АРХИВНЫХ ФОНДОВ ОРГАНОВ МЕСТНОГО САМОУПРАВЛЕНИЯ,МУНИЦИПАЛЬНЫХ ПРЕДПРИЯТИЙ И УЧРЕЖДЕНИЙ</t>
  </si>
  <si>
    <t>ФОРМИРОВАНИЕ АРХИВНЫХ ФОНДОВ ОРГАНОВ МЕСТНОГО САМОУПРАВЛЕНИЯ, МУНИЦИПАЛЬНЫХ ПРЕДПРИЯТИЙ И УЧРЕЖДЕНИЙ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</si>
  <si>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</si>
  <si>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ОРГАНИЗАЦИЯ ИНФОРМИРОВАНИЯ,КОНСУЛЬТИРОВАНИЯ И СОДЕЙСТВИЯ ЖИТЕЛЯМ МУНИЦИПАЛЬНОГО ОБРАЗОВАНИЯ ПО ВОПРОСАМ СОЗДАНИЯ ТСЖ, ФОРМИРОВАНИЯ ЗЕМЕЛЬНЫХ УЧАСТКОВ, НА КОТОРЫХ РАСПОЛОЖЕНЫ МНОГОКВАРТИРНЫЕ ДОМА</t>
  </si>
  <si>
    <t>092 06 00</t>
  </si>
  <si>
    <t>487 01 00</t>
  </si>
  <si>
    <t>ВРЕМЕННОЕ ТРУДОУСТРОЙСТВО НЕСОВЕРШЕННОЛЕТНИХ В ВОЗРАСТЕ ОТ 14 ДО 18 ЛЕТ В СВОБОДНОЕ ОТ УЧЕБЫ ВРЕМЯ</t>
  </si>
  <si>
    <t>795 02 00</t>
  </si>
  <si>
    <t xml:space="preserve">Целевая программа по участию в реализации мер по профилактике дорожно-транспортного травматизма на территории МО </t>
  </si>
  <si>
    <t xml:space="preserve">Целевая программа  по участию в деятельности по профилактике правонарушений в Санкт-Петербурге </t>
  </si>
  <si>
    <t>Целевая программа по участию в деятельности по профилактике наркомании в Санкт-Петербурге</t>
  </si>
  <si>
    <t xml:space="preserve">Целевая программа   по участию в профилактике  терроризма и экстремизма , а также  минимизации и (или) ликвидации последствий проявления терроризма и экстремизма на территории МО </t>
  </si>
  <si>
    <t xml:space="preserve">Целевая адресная программа  по профилактике  терроризма и экстремизма , а также  минимизации и (или) ликвидации последствий проявления терроризма и экстремизма на территории МО 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</si>
  <si>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 , возникающих при ведении военных действий или вследствие этих действий</t>
  </si>
  <si>
    <t>219 03 00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</si>
  <si>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</si>
  <si>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219 01 00</t>
  </si>
  <si>
    <t>БЛАГОУСТРОЙСТВО ТЕРРИТОРИИ МО , СВЯЗАННОЕ С ОБЕСПЕЧЕНИЕМ САНИТАРНОГО БЛАГОПОЛУЧИЯ НАСЕЛЕНИЯ</t>
  </si>
  <si>
    <t>600 02 04</t>
  </si>
  <si>
    <t>ОЗЕЛЕНЕНИЕ  ТЕРРИТОРИЙ  ЗЕЛЕНЫХ НАСАЖДЕНИЙ ВНУТРИКВАРТАЛЬНОГО ОЗЕЛЕНЕНИЯ</t>
  </si>
  <si>
    <t>ОРГАНИЗАЦИЯ РАБОТ ПО  КОМПЕНСАЦИОННОМУ ОЗЕЛЕНЕНИЮ</t>
  </si>
  <si>
    <t>600 03 05</t>
  </si>
  <si>
    <t xml:space="preserve">ОРГАНИЗАЦИЯ УЧЕТА ЗЕЛЕНЫХ НАСАЖДЕНИЙ ВНУТРИКВАРТАЛЬНОГО ОЗЕЛЕНЕНИЯ </t>
  </si>
  <si>
    <t>ПРОЧИЕ МЕРОПРИЯТИЯ В ОБЛАСТИ БЛАГОУСТРОЙСТВА</t>
  </si>
  <si>
    <t>СОЗДАНИЕ ЗОН ОТДЫХА, В ТОМ ЧИСЛЕ ОБУСТРОЙСТВО, СОДЕРЖАНИЕ И УБОРКА ТЕРРИТОРИЙ ДЕТСКИХ ПЛОЩАДОК</t>
  </si>
  <si>
    <t>ОБУСТРОЙСТВО, СОДЕРЖАНИЕ И УБОРКА ТЕРРИТОРИЙ СПОРТИВНЫХ ПЛОЩАДОК</t>
  </si>
  <si>
    <t xml:space="preserve">ОПУБЛИКОВАНИЕ МУНИЦИПАЛЬНЫХ ПРАВОВЫХ АКТОВ, ИНОЙ ИНФОРМАЦИИ </t>
  </si>
  <si>
    <t>МЕРОПРИЯТИЯ ПО ГРАЖДАНСКОЙ ОБОРОНЕ</t>
  </si>
  <si>
    <t>БЛАГОУСТРОЙСТВО ПРИДОМОВЫХ ТЕРРИТОРИЙ И ДВОРОВЫХ ТЕРРИТОРИЙ</t>
  </si>
  <si>
    <t>ОРГАНИЗАЦИЯ ДОПОЛНИТЕЛЬНЫХ  ПАРКОВОЧНЫХ МЕСТ НА ДВОРОВЫХ ТЕРРИТОРИЯХ</t>
  </si>
  <si>
    <t>9.1.4</t>
  </si>
  <si>
    <t>9.1.4.1</t>
  </si>
  <si>
    <t>9.4.3</t>
  </si>
  <si>
    <t>9.4.3.1</t>
  </si>
  <si>
    <t>440 01 01</t>
  </si>
  <si>
    <t xml:space="preserve">ОРГАНИЗАЦИЯ  МЕСТНЫХ И УЧАСТИЕ В ОРГАНИЗАЦИИ И ПРОВЕДЕНИИ ГОРОДСКИХ ПРАЗДНИЧНЫХ И ИНЫХ ЗРЕЛИЩНЫХ МЕРОПРИЯТИЙ </t>
  </si>
  <si>
    <t>440 01 02</t>
  </si>
  <si>
    <t xml:space="preserve">ОРГАНИЗАЦИЯ МЕСТНЫХ И УЧАСТИЕ В ОРГАНИЗАЦИИ И ПРОВЕДЕНИИ ГОРОДСКИХ ПРАЗДНИЧНЫХ И ИНЫХ ЗРЕЛИЩНЫХ МЕРОПРИЯТИЙ </t>
  </si>
  <si>
    <t>600 03 04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</si>
  <si>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</si>
  <si>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9.3.4</t>
  </si>
  <si>
    <t>9.3.4.1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</si>
  <si>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</si>
  <si>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</si>
  <si>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</si>
  <si>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</si>
  <si>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</si>
  <si>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</si>
  <si>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</si>
  <si>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330 01 00</t>
  </si>
  <si>
    <t>Связь и информатика</t>
  </si>
  <si>
    <t xml:space="preserve">Информационные технологии и связь </t>
  </si>
  <si>
    <t>Информационные технологии и связь</t>
  </si>
  <si>
    <t>1.1.3</t>
  </si>
  <si>
    <t xml:space="preserve">Профессиональная подготовка, переподготовка и повышение квалификации
</t>
  </si>
  <si>
    <t>0705</t>
  </si>
  <si>
    <t>12.1.1.1</t>
  </si>
  <si>
    <t>18</t>
  </si>
  <si>
    <t>18.1</t>
  </si>
  <si>
    <t>18.1.1</t>
  </si>
  <si>
    <t xml:space="preserve">Меры социальной поддержки населения по публичным нормативным обязательствам
</t>
  </si>
  <si>
    <t>428 00 00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</si>
  <si>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</si>
  <si>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428 01 01</t>
  </si>
  <si>
    <t>Прочая закупка товаров, работ и услуг для муниципальных нужд</t>
  </si>
  <si>
    <t>Расходы на родготовку, переподготовка, повышение квалификации выборных лиц местного самоуправления,депутатов представительного органа местного самоуправления</t>
  </si>
  <si>
    <t>Расходы на подготовку, переподготовку и повышение квалификации  муниципальных служащих</t>
  </si>
  <si>
    <t>428 02 01</t>
  </si>
  <si>
    <t>12.1.2</t>
  </si>
  <si>
    <t>12.1.2.1</t>
  </si>
  <si>
    <t>244</t>
  </si>
  <si>
    <t>Доходы от компесации затрат государства</t>
  </si>
  <si>
    <t>Доходы от компенсации затрат государства</t>
  </si>
  <si>
    <t>113 02990 00 0000 130</t>
  </si>
  <si>
    <t>Прочие доходы от компесации затрат государства</t>
  </si>
  <si>
    <t>322</t>
  </si>
  <si>
    <t>092 08 00</t>
  </si>
  <si>
    <t>РАСХОДЫ НА ПОДДЕРЖАНИЕ САЙТА МО МО ОЗЕРО ДОЛГОЕ</t>
  </si>
  <si>
    <t>Фонд оплаты труда и страховые взносы</t>
  </si>
  <si>
    <t>121</t>
  </si>
  <si>
    <t>002 04 00</t>
  </si>
  <si>
    <t>Закупка товаров, работ, услуг в сфере информационно-коммуникационных технологий</t>
  </si>
  <si>
    <t>092 09 00</t>
  </si>
  <si>
    <t>Уплата прочих налогов, сборов и иных платежей</t>
  </si>
  <si>
    <t>Уплата налога на имущество организаций и земельного налога</t>
  </si>
  <si>
    <t>РАСХОДЫ НА ПРЕДОСТАВЛЕНИЕ ДОПЛАТ К ПЕНСИИ ЛИЦАМ, ЗАМЕЩАВШИМ МУНИЦИПАЛЬНЫЕ ДОЛЖНОСТИ И ДОЛЖНОСТИ МУНИЦИПАЛЬНОЙ СЛУЖБЫ</t>
  </si>
  <si>
    <t>428 01 02</t>
  </si>
  <si>
    <t>ПЕРЕПОДГОТОВКА, ПОВЫШЕНИЕ КВАЛИФИКАЦИИ</t>
  </si>
  <si>
    <t>428 01 00</t>
  </si>
  <si>
    <t>5.7</t>
  </si>
  <si>
    <t>5.7.1</t>
  </si>
  <si>
    <t>5.8</t>
  </si>
  <si>
    <t>5.8.1</t>
  </si>
  <si>
    <t xml:space="preserve">ПРОВЕДЕНИЕ МЕРОПРИЯТИЙ ПО ВОЕННО-ПАТРИОТИЧЕСКОМУ ВОСПИТАНИЮ ГРАЖДАН РФ  НА ТЕРРИТОРИИ МО </t>
  </si>
  <si>
    <t>ТЕКУЩИЙ РЕМОНТ ПРИДОМОВЫХ ТЕРРИТОРИЙ И ДВОРОВЫХ ТЕРРИТОРИЙ , ВКЛЮЧАЯ ПРОЕЗДЫ И ВЪЕЗДЫ,ПЕШЕХОДНЫЕ ДОРОЖКИ</t>
  </si>
  <si>
    <t>7.1.1</t>
  </si>
  <si>
    <t>8.1.1</t>
  </si>
  <si>
    <t>16.2</t>
  </si>
  <si>
    <t>16.2.1</t>
  </si>
  <si>
    <t>16.3</t>
  </si>
  <si>
    <t>16.3.1</t>
  </si>
  <si>
    <t>11.1.1.1</t>
  </si>
  <si>
    <t>11.1.2</t>
  </si>
  <si>
    <t>11.1.2.1</t>
  </si>
  <si>
    <t>к Распоряжению МА МО МО Озеро Долгое</t>
  </si>
  <si>
    <t>№ 01-04/105 от 16.10.2012 г.</t>
  </si>
  <si>
    <t>Среднесрочный финансовый план</t>
  </si>
  <si>
    <t>Муниципального образования Муниципальный округ Озеро долгое</t>
  </si>
  <si>
    <t>на 2013-2015 гг</t>
  </si>
  <si>
    <t xml:space="preserve">I. Доходы, всего, в т.ч. </t>
  </si>
  <si>
    <t xml:space="preserve">III. Дефицит бюджета (–); Профицит бюджета (+) </t>
  </si>
  <si>
    <t>Нормативы отчислений от налоговых доходов в местный бюджет</t>
  </si>
  <si>
    <t>1.3. Безвозмездные поступления, в т.ч.</t>
  </si>
  <si>
    <t xml:space="preserve">II.Расходы, всего, в т.ч. </t>
  </si>
  <si>
    <t>2013 г</t>
  </si>
  <si>
    <t>2014 г</t>
  </si>
  <si>
    <t>2015 г</t>
  </si>
  <si>
    <t>2015г</t>
  </si>
  <si>
    <t xml:space="preserve">Налог с имущества переходящего в порядке наследования или дарения в части сумм перерасчетов и погашения задолженности прошлых лет </t>
  </si>
  <si>
    <t>Верхний предел муниципального долга *</t>
  </si>
  <si>
    <t>Начальник планово-бюджетного отдела МА МО МО Озеро Долгое                                             Шакирова О.В.</t>
  </si>
  <si>
    <t>Отношение дефицита местного бюджета к объему доходов без учета финансовой помощи из бюджета Санкт-Петербурга</t>
  </si>
  <si>
    <t>Параметры среднесрочного финансового плана</t>
  </si>
  <si>
    <t>изм. №01-04/122/1 от 26.11.2012 г.</t>
  </si>
  <si>
    <t>Сведения об объемах расходов местного бюджета</t>
  </si>
  <si>
    <t>2012</t>
  </si>
  <si>
    <t>факт</t>
  </si>
  <si>
    <t>Расходы на подготовку, переподготовку, повышение квалификации выборных лиц местного самоуправления,депутатов представительного органа местного самоуправления</t>
  </si>
  <si>
    <t>3.1.</t>
  </si>
  <si>
    <t>4.2.2</t>
  </si>
  <si>
    <t>6.4</t>
  </si>
  <si>
    <t>6.4.1</t>
  </si>
  <si>
    <t>6.5</t>
  </si>
  <si>
    <t>6.5.1</t>
  </si>
  <si>
    <t>7.1.1.1</t>
  </si>
  <si>
    <t>7.2</t>
  </si>
  <si>
    <t>7.2.1</t>
  </si>
  <si>
    <t>10.1.1.1</t>
  </si>
  <si>
    <t>10.1.2</t>
  </si>
  <si>
    <t>10.1.2.1</t>
  </si>
  <si>
    <t>10.1.3</t>
  </si>
  <si>
    <t>10.1.3.1</t>
  </si>
  <si>
    <t>10.1.4</t>
  </si>
  <si>
    <t>10.1.4.1</t>
  </si>
  <si>
    <t>10.2</t>
  </si>
  <si>
    <t>10.2.1</t>
  </si>
  <si>
    <t>10.2.1.1</t>
  </si>
  <si>
    <t>10.2.2</t>
  </si>
  <si>
    <t>10.2.2.1</t>
  </si>
  <si>
    <t>10.3</t>
  </si>
  <si>
    <t>10.3.1</t>
  </si>
  <si>
    <t>10.3.1.1</t>
  </si>
  <si>
    <t>10.3.2</t>
  </si>
  <si>
    <t>10.3.2.1</t>
  </si>
  <si>
    <t>10.3.3</t>
  </si>
  <si>
    <t>10.3.3.1</t>
  </si>
  <si>
    <t>10.4</t>
  </si>
  <si>
    <t>10.4.1</t>
  </si>
  <si>
    <t>10.4.1.1</t>
  </si>
  <si>
    <t>10.4.2</t>
  </si>
  <si>
    <t>10.4.2.1</t>
  </si>
  <si>
    <t>10.4.3</t>
  </si>
  <si>
    <t>10.4.3.1</t>
  </si>
  <si>
    <t>19</t>
  </si>
  <si>
    <t>19.1</t>
  </si>
  <si>
    <t>19.1.1</t>
  </si>
  <si>
    <t>795 06 00</t>
  </si>
  <si>
    <t>ЦЕЛЕВАЯ ПРОГРАММА ПО ОРГАНИЗАЦИИ И ПРОВЕДЕНИЮ ДОСУГОВЫХ МЕРОПРИЯТИЙ ДЛЯ ЖИТЕЛЕЙ МУНИЦИПАЛЬНОГО ОБРАЗОВАНИЯ</t>
  </si>
  <si>
    <t>местного бюджета МО МО Озеро Долгое на 2014 год</t>
  </si>
  <si>
    <t>ИЗБИРАТЕЛЬНАЯ КОМИССИЯ МО МО ОЗЕРО ДОЛГОЕ</t>
  </si>
  <si>
    <t xml:space="preserve"> 1 05 04000 02 0000 110</t>
  </si>
  <si>
    <t>Налог, взимаемый в связи с применением патентной системы налогообложения</t>
  </si>
  <si>
    <t xml:space="preserve"> 1 05 04030 02 0000 110</t>
  </si>
  <si>
    <t>2016 г</t>
  </si>
  <si>
    <t>Налог, взимаемый в связи с применением патентной системы налогобложения</t>
  </si>
  <si>
    <t xml:space="preserve">020 01 01 </t>
  </si>
  <si>
    <t>020 01 03</t>
  </si>
  <si>
    <t>Повышение правовой культуры избирателей и обучение организаторов выборов</t>
  </si>
  <si>
    <t>020 01 00</t>
  </si>
  <si>
    <t xml:space="preserve"> Проведение муниципальных выборов</t>
  </si>
  <si>
    <t>ПРОВЕДЕНИЕ МУНИЦИПАЛЬНЫХ ВЫБОРОВ</t>
  </si>
  <si>
    <t>к бюджету от 23.10.2013</t>
  </si>
  <si>
    <t>О107</t>
  </si>
  <si>
    <t>Пособия, компенсации, меры социальной поддержки по публичным нормативным обязательствам</t>
  </si>
  <si>
    <t>2014г</t>
  </si>
  <si>
    <t>2016г</t>
  </si>
  <si>
    <t>№ п/п</t>
  </si>
  <si>
    <t>Глава муниципального образования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</si>
  <si>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</si>
  <si>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</si>
  <si>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</si>
  <si>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</si>
  <si>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</si>
  <si>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</si>
  <si>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</si>
  <si>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</si>
  <si>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</si>
  <si>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</si>
  <si>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</si>
  <si>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</si>
  <si>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</si>
  <si>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</si>
  <si>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</si>
  <si>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</si>
  <si>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</si>
  <si>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</si>
  <si>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</si>
  <si>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</si>
  <si>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</si>
  <si>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</si>
  <si>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</si>
  <si>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</si>
  <si>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</si>
  <si>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</si>
  <si>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</si>
  <si>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</si>
  <si>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</si>
  <si>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</si>
  <si>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 xml:space="preserve"> 1 16 33030 03 0000 140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</si>
  <si>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</si>
  <si>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Закупка товаров, работ и услуг  для государственных (муниципальных) нужд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</si>
  <si>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</si>
  <si>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</si>
  <si>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</si>
  <si>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Предоставление  субсидий бюджетным, автономным учреждениям и некомерческим организациям</t>
  </si>
  <si>
    <t>3.26</t>
  </si>
  <si>
    <t>3.26.1</t>
  </si>
  <si>
    <t>Приложение № 3</t>
  </si>
  <si>
    <t>01</t>
  </si>
  <si>
    <t>02</t>
  </si>
  <si>
    <t>03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</si>
  <si>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</si>
  <si>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</si>
  <si>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</t>
  </si>
  <si>
    <t>09</t>
  </si>
  <si>
    <t>05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</si>
  <si>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</si>
  <si>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</si>
  <si>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</si>
  <si>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</si>
  <si>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</si>
  <si>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</si>
  <si>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</si>
  <si>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</si>
  <si>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</si>
  <si>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1.4.1</t>
  </si>
  <si>
    <t>1.2.2</t>
  </si>
  <si>
    <t>1.2.3</t>
  </si>
  <si>
    <t>1.3.2</t>
  </si>
  <si>
    <t>1.3.3</t>
  </si>
  <si>
    <t>5.2.</t>
  </si>
  <si>
    <t>5.2.2</t>
  </si>
  <si>
    <t>5.3.2</t>
  </si>
  <si>
    <t>08</t>
  </si>
  <si>
    <t>Другие вопросы в области культуры, кинематографии</t>
  </si>
  <si>
    <t>7.2.2</t>
  </si>
  <si>
    <t>7.2.3</t>
  </si>
  <si>
    <t>1.4.2</t>
  </si>
  <si>
    <t>КР</t>
  </si>
  <si>
    <t>КПР</t>
  </si>
  <si>
    <t>КЦСР</t>
  </si>
  <si>
    <t>КВР</t>
  </si>
  <si>
    <t>1.2.2.1</t>
  </si>
  <si>
    <t>1.2.3.1</t>
  </si>
  <si>
    <t>1.2.3.2</t>
  </si>
  <si>
    <t>1.3.2.1</t>
  </si>
  <si>
    <t>1.3.2.2</t>
  </si>
  <si>
    <t>1.3.2.3</t>
  </si>
  <si>
    <t>1.3.3.1</t>
  </si>
  <si>
    <t>1.4.1.2</t>
  </si>
  <si>
    <t>1.4.2.1</t>
  </si>
  <si>
    <t>4.1.2.1</t>
  </si>
  <si>
    <t>4.1.3.1</t>
  </si>
  <si>
    <t>4.1.4.1</t>
  </si>
  <si>
    <t>4.1.5.1</t>
  </si>
  <si>
    <t>4.1.6.1</t>
  </si>
  <si>
    <t>4.1.7.1</t>
  </si>
  <si>
    <t>4.1.8.1</t>
  </si>
  <si>
    <t>4.1.9.1</t>
  </si>
  <si>
    <t>4.1.10.1</t>
  </si>
  <si>
    <t>5.1.1.1</t>
  </si>
  <si>
    <t>5.2.1.1</t>
  </si>
  <si>
    <t>5.2.2.1</t>
  </si>
  <si>
    <t>5.3.1.1</t>
  </si>
  <si>
    <t>5.3.2.1</t>
  </si>
  <si>
    <t>6.2.1.1</t>
  </si>
  <si>
    <t>7.2.1.1</t>
  </si>
  <si>
    <t>7.2.1.2</t>
  </si>
  <si>
    <t>7.2.2.1</t>
  </si>
  <si>
    <t>7.2.3.1</t>
  </si>
  <si>
    <t>8.1.1.1</t>
  </si>
  <si>
    <t>Рева О.В.</t>
  </si>
  <si>
    <t>Начальник планово-бюджетного отдела МА МО МО Озеро Долгое                                             Рева О.В.</t>
  </si>
  <si>
    <t>к бюджету от 23.10.2013.</t>
  </si>
  <si>
    <t>Председатель ИКМО Озеро Долгое</t>
  </si>
  <si>
    <t>Ходырева С.Н.</t>
  </si>
  <si>
    <t xml:space="preserve"> Утверждено Распоряжением МА МО Озеро Долгое</t>
  </si>
  <si>
    <t>Утверждено Решением ИКМО Озеро Долгое</t>
  </si>
  <si>
    <t>Иные пенсии, социальные доплаты к пенсиям</t>
  </si>
  <si>
    <t>Утверждено Распоряжением МА МО МО Озеро Долгое</t>
  </si>
  <si>
    <t xml:space="preserve">Сводная бюджетная роспись  МО МО Озеро Долгое </t>
  </si>
  <si>
    <t>0111</t>
  </si>
  <si>
    <t>0401</t>
  </si>
  <si>
    <t>0804</t>
  </si>
  <si>
    <t>132.1</t>
  </si>
  <si>
    <t>17.1.2</t>
  </si>
  <si>
    <t>17.2</t>
  </si>
  <si>
    <t>17.2.1</t>
  </si>
  <si>
    <t>17.3</t>
  </si>
  <si>
    <t>17.3.1</t>
  </si>
  <si>
    <t>к бюджету от 19.02.2014</t>
  </si>
  <si>
    <t>№ 6 от 09.01.2014</t>
  </si>
  <si>
    <t>Уплата прочих налогов,сборов и иных платежей</t>
  </si>
  <si>
    <t>к бюджету от 23.04.2014</t>
  </si>
  <si>
    <t>1.2.3.3</t>
  </si>
  <si>
    <t>к бюджету от 14.05.2014</t>
  </si>
  <si>
    <t>Денежные взыскания (штрафы) и иные суммы, взыскиваемые с лиц, виновных  в совершении преступлений, и в возмещение ущерба имуществу</t>
  </si>
  <si>
    <t>Приложение</t>
  </si>
  <si>
    <t>с измен. № 01-04/35 от 07.05.2014</t>
  </si>
  <si>
    <t>на 2015 год</t>
  </si>
  <si>
    <t>местного бюджета МО МО Озеро Долгое на 2015 год</t>
  </si>
  <si>
    <t>Уплата иных платежей</t>
  </si>
  <si>
    <t>1.2.</t>
  </si>
  <si>
    <t>Шелгунова М.В.</t>
  </si>
  <si>
    <t>РАСХОДЫ НА ОСУЩЕСТВЛЕНИЕ ЗАЩИТЫ ПРАВ ПОТРЕБИТЕЛЕЙ</t>
  </si>
  <si>
    <t>092 10 00</t>
  </si>
  <si>
    <t>795 07 00</t>
  </si>
  <si>
    <t>795 08 00</t>
  </si>
  <si>
    <t>795 09 00</t>
  </si>
  <si>
    <t>795 10 00</t>
  </si>
  <si>
    <t>795 03 00</t>
  </si>
  <si>
    <t>795 11 00</t>
  </si>
  <si>
    <t>ЛИКВИДАЦИЯ НЕСАНКЦИОНИРОВАННЫХ СВАЛОК БЫТОВЫХ ОТХОДОВ, МУСОРА, УБОРКА ТЕРРИТОРИЙ, ВОДНЫХ АКВАТОРИЙ, ТУПИКОВ И ПРОЕЗДОВ</t>
  </si>
  <si>
    <t>УСТАНОВКА И СОДЕРЖАНИЕ МАЛЫХ АРХИТЕКТУРНЫХ ФОРМ, УЛИЧНОЙ МЕБЕЛИ И ХОЗЯЙСТВЕННОГО-БЫТОВОГО ОБОРУДОВАНИЯ, НЕОБХОДИМОГО ДЛЯ БЛАГОУСТРОЙСТВА ТЕРРИТОРИИ МО</t>
  </si>
  <si>
    <t>ОЗЕЛЕНЕНИЕ , СОДЕРЖАНИЕ И РЕМОНТ ТЕРРИТОРИЙ  ЗЕЛЕНЫХ НАСАЖДЕНИЙ ВНУТРИКВАРТАЛЬНОГО ОЗЕЛЕНЕНИЯ, КОМПЕНСАЦИОННОЕ ОЗЕЛЕНЕНИЕ</t>
  </si>
  <si>
    <t xml:space="preserve">Перечень и коды целевых статей, применяемых в местном бюджете МО МО Озеро Долгое на 2015 год 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</si>
  <si>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</si>
  <si>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002  80 10</t>
  </si>
  <si>
    <t>002 80 10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</si>
  <si>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</si>
  <si>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002 80 31</t>
  </si>
  <si>
    <t>002  80 31</t>
  </si>
  <si>
    <t xml:space="preserve">002 80 31 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</si>
  <si>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</si>
  <si>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511 80 32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</si>
  <si>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</si>
  <si>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511 80 33</t>
  </si>
  <si>
    <t xml:space="preserve">Пособия, компенсации и иные социальные выплаты
гражданам, кроме публичных нормативных обязательств
</t>
  </si>
  <si>
    <t>1.3.2.4</t>
  </si>
  <si>
    <t xml:space="preserve">Расходы на организацию профессионального образования и дополнительного профессионального образования для выборных должностных лиц местного самоуправления и муниципальных служащих  </t>
  </si>
  <si>
    <t xml:space="preserve">Расходы на организацию профессионального образования и дополнительного профессионального образования для выборных должностных лиц местного самоуправления </t>
  </si>
  <si>
    <t xml:space="preserve">Расходы на организацию профессионального образования и дополнительного профессионального образования для  муниципальных служащих  </t>
  </si>
  <si>
    <t>1.5.2</t>
  </si>
  <si>
    <t>1.5.3</t>
  </si>
  <si>
    <t>1.5.4</t>
  </si>
  <si>
    <t>1.5.5</t>
  </si>
  <si>
    <t>1.5.6</t>
  </si>
  <si>
    <t>1.5.2.1</t>
  </si>
  <si>
    <t>1.5.3.1</t>
  </si>
  <si>
    <t>1.5.4.1</t>
  </si>
  <si>
    <t>1.5.5.1</t>
  </si>
  <si>
    <t>1.5.6.1</t>
  </si>
  <si>
    <t>1.2.4</t>
  </si>
  <si>
    <t xml:space="preserve">в                        </t>
  </si>
  <si>
    <t>№ 01-04/74 от 15.10.2014</t>
  </si>
  <si>
    <t>на 2015-2017 гг</t>
  </si>
  <si>
    <t>РАСХОДЫ НА ОСУЩЕСТВЛЕНИЕ ЗАКУПОК ТОВАРОВ, РАБОТ, УСЛУГ ДЛЯ ОБЕСПЕЧЕНИЯ МУНИЦИПАЛЬНЫХ НУЖД</t>
  </si>
  <si>
    <t>2015</t>
  </si>
  <si>
    <t>2017г</t>
  </si>
  <si>
    <t>1200</t>
  </si>
  <si>
    <t>1100</t>
  </si>
  <si>
    <t>1102</t>
  </si>
  <si>
    <t>1202</t>
  </si>
  <si>
    <t>№ 01-04/66 от 15.09.2014</t>
  </si>
  <si>
    <t>20</t>
  </si>
  <si>
    <t>40</t>
  </si>
  <si>
    <t>1.3.</t>
  </si>
  <si>
    <t>1.3.4</t>
  </si>
  <si>
    <t>1.3.5</t>
  </si>
  <si>
    <t>1.3.6</t>
  </si>
  <si>
    <t>2.1.</t>
  </si>
  <si>
    <t>5.2.3</t>
  </si>
  <si>
    <t>5.2.4</t>
  </si>
  <si>
    <t>5.2.5</t>
  </si>
  <si>
    <t>6.2.2</t>
  </si>
  <si>
    <t>Приложение № 4</t>
  </si>
  <si>
    <t>Распределение бюджетных ассигнований по  разделам и подразделам классификации расходов местного бюджета Муниципального образования Муниципальный округ Озеро Долгое</t>
  </si>
  <si>
    <t>№20 от 03.12.2014 г.</t>
  </si>
  <si>
    <t>4.2.3</t>
  </si>
  <si>
    <t>4.2.4</t>
  </si>
  <si>
    <t>по расходам и источникам финансирования дефицита бюджета на 2015 год</t>
  </si>
  <si>
    <t>№ 02-02-01 от 12.01.2015</t>
  </si>
  <si>
    <t>№ 02-03-01 от 12.01.2015</t>
  </si>
  <si>
    <t>12.3</t>
  </si>
  <si>
    <t>12.3.1</t>
  </si>
  <si>
    <t>12.4</t>
  </si>
  <si>
    <t>12.4.1</t>
  </si>
  <si>
    <t>12.5</t>
  </si>
  <si>
    <t>12.5.1</t>
  </si>
  <si>
    <t>15.2</t>
  </si>
  <si>
    <t>15.2.1</t>
  </si>
  <si>
    <t>КОМПЕНСАЦИЯ  ДЕПУТАТАМ, ОСУЩЕСТВЛЯЮЩИМ СВОИ ПОЛНОМОЧИЯ НА НЕПОСТОЯННОЙ ОСНОВЕ</t>
  </si>
  <si>
    <t>№ 02-02-02 от 14.01.2015</t>
  </si>
  <si>
    <t>№ 02-03-02 от 14.01.2015</t>
  </si>
  <si>
    <t>№___ от 14.01.2015 г.</t>
  </si>
  <si>
    <t>Приложение №3</t>
  </si>
  <si>
    <r>
      <t xml:space="preserve">НА  </t>
    </r>
    <r>
      <rPr>
        <b/>
        <sz val="12"/>
        <rFont val="Times New Roman"/>
        <family val="1"/>
      </rPr>
      <t xml:space="preserve">2015 </t>
    </r>
    <r>
      <rPr>
        <sz val="12"/>
        <rFont val="Times New Roman"/>
        <family val="1"/>
      </rPr>
      <t xml:space="preserve"> ГОД</t>
    </r>
  </si>
  <si>
    <t>___________________/Шелгунова М.В./                                      ________________/Рева О.В./</t>
  </si>
  <si>
    <t>Очередной финансовый год (тыс.руб)</t>
  </si>
  <si>
    <t>Плановый период (тыс.руб.)</t>
  </si>
  <si>
    <t>изм.от 03.12.2014</t>
  </si>
  <si>
    <t>изм. от 14.01.2015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</si>
  <si>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</si>
  <si>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Налог на имущество физических лиц, взимаемый по ставкам,применяемым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</si>
  <si>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 xml:space="preserve">Прочие доходы  от оказания платных услуг (работ) получателями средств бюджетов внутригородских муниципальных образований городов федерального значения </t>
  </si>
  <si>
    <t xml:space="preserve">Денежные взыскания (штрафы) и иные суммы, взыскиваемые с лиц, виновных  в совершении преступлений, и в возмещение ущерба имуществу, зачисляемые в  бюджеты внутригородских муниципальных образований городов федерального значения </t>
  </si>
  <si>
    <t xml:space="preserve">Прочие  поступления от денежных взысканий (штрафов) и иных сумм в возмещение ущерба, зачисляемые  в  бюджеты внутригородских муниципальных образований городов федерального значения </t>
  </si>
  <si>
    <t xml:space="preserve">Субвенции  бюджетам   внутригородских муниципальных   образований городов федерального значения на выполнение передаваемых   полномочий   субъектов Российской Федерации                                </t>
  </si>
  <si>
    <t xml:space="preserve">Прочие доходы  от компесации затрат бюджетов внутригородских муниципальных обрахований городов федерального значения </t>
  </si>
  <si>
    <t>№ 02-03-03 от 30.01.2015</t>
  </si>
  <si>
    <t>№ 02-03-04 от 18.02.2015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</si>
  <si>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</si>
  <si>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</si>
  <si>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
</t>
  </si>
  <si>
    <t>Приобретение товаров, работ, услуг в пользу граждан в целях их социального обеспечения</t>
  </si>
  <si>
    <t xml:space="preserve"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 вознаграждение, причитающееся приемному родителю </t>
  </si>
  <si>
    <t>К решению  Муниципального совета</t>
  </si>
  <si>
    <t>№ 02-02-15 от 18.02.2015</t>
  </si>
  <si>
    <t>№ 02-02-18 от 24.02.2015</t>
  </si>
  <si>
    <t>№ 02-03-05 от 24.02.2015</t>
  </si>
  <si>
    <t>№ 02-03-06 от 10.03.2015</t>
  </si>
  <si>
    <t>Ведомственная целевая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и информировании населения о вреде потребления табака и вредном воздействии окружающего табачного дыма</t>
  </si>
  <si>
    <t>Ведомственная целевая программа  по осуществлению содействия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ЧС, а также содействия в информировании населения  об угрозе возникновения или возникновении чрезвычайной ситуации; по проведению подготовки и обучения неработающего населения способам защиты и действиям в чрезвычайных ситуациях, а так же способам защиты от опасностей, возникающих при ведении военных действий или вследствие этих действий</t>
  </si>
  <si>
    <t xml:space="preserve">Ведомственная целевая программа   по участию в профилактике  терроризма и экстремизма, а также  минимизации и (или) ликвидации последствий проявления терроризма и экстремизма на территории МО </t>
  </si>
  <si>
    <t>Ведомственная целевая программа по содействия развитию малого бизнеса на территории МО</t>
  </si>
  <si>
    <t xml:space="preserve">Ведомственная 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 </t>
  </si>
  <si>
    <t>Ведомственная целевая программа по военно-патриотическому воспитанию граждан муниципального образования</t>
  </si>
  <si>
    <t xml:space="preserve">Ведомственная целевая программа по организации и проведению досуговых мероприятий для жителей МО МО Озеро Долгое </t>
  </si>
  <si>
    <t xml:space="preserve">Ведомственная целевая программа по участию в реализации мер по профилактике дорожно-транспортного травматизма на территории МО </t>
  </si>
  <si>
    <t xml:space="preserve">Ведомственная целевая программа по организации и проведению местных и участию в организации и проведении городских праздничных и иных зрелищных мероприятий, а также мероприятий по сохранению и развитию местных традиций и обрядов </t>
  </si>
  <si>
    <t>Ведомственная целевая программа по  обеспечению условий для развития на территории муниципального образования физической культуры и массового спорта, по организации и проведению официальных физкультурных мероприятий, физкультурно-оздоровительных мероприятий и спортивных мероприятий МО</t>
  </si>
  <si>
    <t>Ведомственная целевая программа  по участию в деятельности по профилактике правонарушений в Санкт-Петербурге на территории МО</t>
  </si>
  <si>
    <t>№ 02-03-07 от 25.03.2015</t>
  </si>
  <si>
    <t>№ 02-02-39 от 30.03.2015</t>
  </si>
  <si>
    <t>6.6</t>
  </si>
  <si>
    <t>6.6.1</t>
  </si>
  <si>
    <t>6.7</t>
  </si>
  <si>
    <t>6.7.1</t>
  </si>
  <si>
    <t>№ 02-03-08 от 21.04.2015</t>
  </si>
  <si>
    <t>10.1.1.2</t>
  </si>
  <si>
    <t xml:space="preserve">                                                                             местного бюджета МО МО Озеро Долгое на 2015 год                                                        в тыс.руб.</t>
  </si>
  <si>
    <t>№ 02-03-09 от 29.04.2015</t>
  </si>
  <si>
    <t>4.1.1.2</t>
  </si>
  <si>
    <t xml:space="preserve">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</si>
  <si>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</si>
  <si>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№ 02-03-10 от 21.05.2015</t>
  </si>
  <si>
    <t>№ 02-03-11 от 24.06.2015</t>
  </si>
  <si>
    <t>№ 02-02-67 от 30.06.2015</t>
  </si>
  <si>
    <t>№ 02-03-12 от 24.07.2015</t>
  </si>
  <si>
    <t>№ 02-03-13 от 19.08.2015</t>
  </si>
  <si>
    <t>№ 02-03-14 от 31.08.2015</t>
  </si>
  <si>
    <t>№ 02-03-16 от 14.10.2015</t>
  </si>
  <si>
    <t>№ 02-03-15 от 30.09.2015</t>
  </si>
  <si>
    <t>874</t>
  </si>
  <si>
    <t>4.1.11</t>
  </si>
  <si>
    <t>№ 02-03-17 от 28.10.2015</t>
  </si>
  <si>
    <t>4.1.11.1</t>
  </si>
  <si>
    <t>№ 02-02-92 от 30.09.2015</t>
  </si>
  <si>
    <t>№ 02-02-101 от 09.11.2015</t>
  </si>
  <si>
    <t>№ 02-03-18 от 25.11.2015</t>
  </si>
  <si>
    <t>№ 02-02-___ от 02.12.2015</t>
  </si>
  <si>
    <t>№ 02-03-19 от 02.12.2015</t>
  </si>
  <si>
    <t>№ 02-03-21 от 14.12.2015</t>
  </si>
  <si>
    <t>№ 02-03-22 от 23.12.2015</t>
  </si>
  <si>
    <t>№ 02-02-___ от 23.12.2015</t>
  </si>
  <si>
    <t>за 2015 год</t>
  </si>
  <si>
    <t>Исполнено</t>
  </si>
  <si>
    <t>% исполнения</t>
  </si>
  <si>
    <t xml:space="preserve">                                                                            за 2015 год                                                    в тыс.руб.</t>
  </si>
  <si>
    <t xml:space="preserve"> Доходы местного бюджета МО МО Озеро Долгое </t>
  </si>
  <si>
    <t xml:space="preserve"> по кодам классификации доходов бюджетов</t>
  </si>
  <si>
    <t>администратора доходов</t>
  </si>
  <si>
    <t>источников доходов</t>
  </si>
  <si>
    <t>Наименование источников доходов</t>
  </si>
  <si>
    <t>Утверждено</t>
  </si>
  <si>
    <t xml:space="preserve">Расходы местного бюджета  МО МО Озеро Долгое по ведомственной структуре расходов </t>
  </si>
  <si>
    <t xml:space="preserve">             Приложение  № 4</t>
  </si>
  <si>
    <t>Источники финансирования дефицита бюджета МО МО Озеро Долгое по кодам  классификации источников финансирования дефицитов бюджетов</t>
  </si>
  <si>
    <t xml:space="preserve"> 01 05 0201 03 0000 510</t>
  </si>
  <si>
    <t xml:space="preserve"> 01 05 0201 03 0000 610</t>
  </si>
  <si>
    <t>Код бюджетной классификации</t>
  </si>
  <si>
    <t xml:space="preserve"> администратора</t>
  </si>
  <si>
    <t>источников финансирования дефицита бюджета</t>
  </si>
  <si>
    <t>Расходы местного бюджета МО МО Озеро Долгое по  разделам и подразделам классификации расходов  бюджетов</t>
  </si>
  <si>
    <t>Наименование раздела,подраздела</t>
  </si>
  <si>
    <t>№ 11 от 20.04.2016 г.</t>
  </si>
  <si>
    <t>№11 от 20.04.2016.</t>
  </si>
  <si>
    <t>№ 11 от 20.04.2016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</si>
</sst>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\-#,##0.00\ "/>
    <numFmt numFmtId="169" formatCode="#,##0.000_ ;\-#,##0.000\ "/>
    <numFmt numFmtId="170" formatCode="#,##0.0_ ;\-#,##0.0\ "/>
    <numFmt numFmtId="171" formatCode="#,##0_ ;\-#,##0\ "/>
    <numFmt numFmtId="172" formatCode="0.0000"/>
    <numFmt numFmtId="173" formatCode="0.000"/>
    <numFmt numFmtId="174" formatCode="0.00000"/>
    <numFmt numFmtId="175" formatCode="0.0"/>
    <numFmt numFmtId="176" formatCode="0.000000"/>
    <numFmt numFmtId="177" formatCode="000000"/>
    <numFmt numFmtId="178" formatCode="[$-FC19]d\ mmmm\ yyyy\ &quot;г.&quot;"/>
  </numFmts>
  <fonts count="149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7"/>
      <name val="Arial Cyr"/>
      <family val="2"/>
    </font>
    <font>
      <b/>
      <sz val="12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b/>
      <sz val="9"/>
      <name val="Arial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color indexed="8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i/>
      <sz val="10"/>
      <color indexed="8"/>
      <name val="Arial"/>
      <family val="2"/>
    </font>
    <font>
      <b/>
      <i/>
      <sz val="10"/>
      <name val="Times New Roman"/>
      <family val="1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Arial Cyr"/>
      <family val="2"/>
    </font>
    <font>
      <sz val="9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sz val="10"/>
      <color indexed="8"/>
      <name val="Arial"/>
      <family val="2"/>
    </font>
    <font>
      <b/>
      <i/>
      <sz val="11"/>
      <name val="Times New Roman"/>
      <family val="1"/>
    </font>
    <font>
      <i/>
      <sz val="9"/>
      <name val="Arial Cyr"/>
      <family val="0"/>
    </font>
    <font>
      <i/>
      <sz val="9"/>
      <color indexed="8"/>
      <name val="Arial"/>
      <family val="2"/>
    </font>
    <font>
      <b/>
      <sz val="14"/>
      <name val="Arial Cyr"/>
      <family val="2"/>
    </font>
    <font>
      <b/>
      <sz val="9"/>
      <color indexed="8"/>
      <name val="Arial"/>
      <family val="2"/>
    </font>
    <font>
      <b/>
      <i/>
      <sz val="12"/>
      <name val="Times New Roman"/>
      <family val="1"/>
    </font>
    <font>
      <sz val="7"/>
      <name val="Arial Cyr"/>
      <family val="2"/>
    </font>
    <font>
      <sz val="11"/>
      <name val="Arial Cyr"/>
      <family val="2"/>
    </font>
    <font>
      <sz val="9"/>
      <color indexed="8"/>
      <name val="Arial"/>
      <family val="2"/>
    </font>
    <font>
      <i/>
      <sz val="11"/>
      <name val="Arial Cyr"/>
      <family val="2"/>
    </font>
    <font>
      <b/>
      <sz val="10"/>
      <name val="Arial"/>
      <family val="2"/>
    </font>
    <font>
      <sz val="9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1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6"/>
      <name val="Arial Cyr"/>
      <family val="2"/>
    </font>
    <font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Arial"/>
      <family val="2"/>
    </font>
    <font>
      <b/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2"/>
    </font>
    <font>
      <b/>
      <sz val="10"/>
      <color indexed="8"/>
      <name val="Arial Cyr"/>
      <family val="2"/>
    </font>
    <font>
      <i/>
      <sz val="9"/>
      <color indexed="8"/>
      <name val="Arial Cyr"/>
      <family val="2"/>
    </font>
    <font>
      <i/>
      <sz val="8"/>
      <color indexed="8"/>
      <name val="Arial Cyr"/>
      <family val="2"/>
    </font>
    <font>
      <i/>
      <sz val="8"/>
      <color indexed="10"/>
      <name val="Arial Cyr"/>
      <family val="2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8"/>
      <name val="Arial Cyr"/>
      <family val="0"/>
    </font>
    <font>
      <b/>
      <i/>
      <sz val="9"/>
      <color indexed="8"/>
      <name val="Arial Cyr"/>
      <family val="0"/>
    </font>
    <font>
      <sz val="10"/>
      <color indexed="10"/>
      <name val="Arial Cyr"/>
      <family val="0"/>
    </font>
    <font>
      <i/>
      <sz val="9"/>
      <color indexed="10"/>
      <name val="Arial Cyr"/>
      <family val="0"/>
    </font>
    <font>
      <b/>
      <sz val="10"/>
      <color indexed="36"/>
      <name val="Arial Cyr"/>
      <family val="0"/>
    </font>
    <font>
      <b/>
      <sz val="9"/>
      <color indexed="36"/>
      <name val="Arial Cyr"/>
      <family val="0"/>
    </font>
    <font>
      <b/>
      <i/>
      <sz val="9"/>
      <color indexed="36"/>
      <name val="Arial Cyr"/>
      <family val="0"/>
    </font>
    <font>
      <i/>
      <sz val="10"/>
      <color indexed="36"/>
      <name val="Arial Cyr"/>
      <family val="0"/>
    </font>
    <font>
      <i/>
      <sz val="9"/>
      <color indexed="36"/>
      <name val="Arial Cyr"/>
      <family val="0"/>
    </font>
    <font>
      <sz val="10"/>
      <color indexed="36"/>
      <name val="Arial Cyr"/>
      <family val="0"/>
    </font>
    <font>
      <i/>
      <sz val="8"/>
      <color indexed="36"/>
      <name val="Arial Cyr"/>
      <family val="0"/>
    </font>
    <font>
      <sz val="9"/>
      <color indexed="36"/>
      <name val="Arial Cyr"/>
      <family val="0"/>
    </font>
    <font>
      <b/>
      <sz val="8"/>
      <color indexed="36"/>
      <name val="Arial Cyr"/>
      <family val="0"/>
    </font>
    <font>
      <b/>
      <sz val="11"/>
      <color indexed="36"/>
      <name val="Arial Cyr"/>
      <family val="0"/>
    </font>
    <font>
      <i/>
      <sz val="9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  <font>
      <b/>
      <sz val="10"/>
      <color theme="1"/>
      <name val="Arial Cyr"/>
      <family val="2"/>
    </font>
    <font>
      <i/>
      <sz val="9"/>
      <color theme="1"/>
      <name val="Arial Cyr"/>
      <family val="2"/>
    </font>
    <font>
      <i/>
      <sz val="8"/>
      <color theme="1"/>
      <name val="Arial Cyr"/>
      <family val="2"/>
    </font>
    <font>
      <i/>
      <sz val="8"/>
      <color rgb="FFFF0000"/>
      <name val="Arial Cyr"/>
      <family val="2"/>
    </font>
    <font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9"/>
      <color theme="1"/>
      <name val="Arial Cyr"/>
      <family val="0"/>
    </font>
    <font>
      <b/>
      <i/>
      <sz val="9"/>
      <color theme="1"/>
      <name val="Arial Cyr"/>
      <family val="0"/>
    </font>
    <font>
      <sz val="10"/>
      <color rgb="FFFF0000"/>
      <name val="Arial Cyr"/>
      <family val="0"/>
    </font>
    <font>
      <i/>
      <sz val="9"/>
      <color rgb="FFFF0000"/>
      <name val="Arial Cyr"/>
      <family val="0"/>
    </font>
    <font>
      <b/>
      <sz val="10"/>
      <color theme="7"/>
      <name val="Arial Cyr"/>
      <family val="0"/>
    </font>
    <font>
      <b/>
      <sz val="9"/>
      <color theme="7"/>
      <name val="Arial Cyr"/>
      <family val="0"/>
    </font>
    <font>
      <b/>
      <i/>
      <sz val="9"/>
      <color theme="7"/>
      <name val="Arial Cyr"/>
      <family val="0"/>
    </font>
    <font>
      <i/>
      <sz val="10"/>
      <color theme="7"/>
      <name val="Arial Cyr"/>
      <family val="0"/>
    </font>
    <font>
      <i/>
      <sz val="9"/>
      <color theme="7"/>
      <name val="Arial Cyr"/>
      <family val="0"/>
    </font>
    <font>
      <sz val="10"/>
      <color theme="7"/>
      <name val="Arial Cyr"/>
      <family val="0"/>
    </font>
    <font>
      <i/>
      <sz val="8"/>
      <color theme="7"/>
      <name val="Arial Cyr"/>
      <family val="0"/>
    </font>
    <font>
      <sz val="9"/>
      <color theme="7"/>
      <name val="Arial Cyr"/>
      <family val="0"/>
    </font>
    <font>
      <b/>
      <sz val="8"/>
      <color theme="7"/>
      <name val="Arial Cyr"/>
      <family val="0"/>
    </font>
    <font>
      <b/>
      <sz val="11"/>
      <color theme="7"/>
      <name val="Arial Cyr"/>
      <family val="0"/>
    </font>
    <font>
      <i/>
      <sz val="9"/>
      <color rgb="FFFF0000"/>
      <name val="Times New Roman"/>
      <family val="1"/>
    </font>
    <font>
      <sz val="10"/>
      <color rgb="FF000000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EF2F6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FF99FF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9" fillId="2" borderId="0" applyNumberFormat="0" applyBorder="0" applyAlignment="0" applyProtection="0"/>
    <xf numFmtId="0" fontId="109" fillId="3" borderId="0" applyNumberFormat="0" applyBorder="0" applyAlignment="0" applyProtection="0"/>
    <xf numFmtId="0" fontId="109" fillId="4" borderId="0" applyNumberFormat="0" applyBorder="0" applyAlignment="0" applyProtection="0"/>
    <xf numFmtId="0" fontId="109" fillId="5" borderId="0" applyNumberFormat="0" applyBorder="0" applyAlignment="0" applyProtection="0"/>
    <xf numFmtId="0" fontId="109" fillId="6" borderId="0" applyNumberFormat="0" applyBorder="0" applyAlignment="0" applyProtection="0"/>
    <xf numFmtId="0" fontId="109" fillId="7" borderId="0" applyNumberFormat="0" applyBorder="0" applyAlignment="0" applyProtection="0"/>
    <xf numFmtId="0" fontId="109" fillId="8" borderId="0" applyNumberFormat="0" applyBorder="0" applyAlignment="0" applyProtection="0"/>
    <xf numFmtId="0" fontId="109" fillId="9" borderId="0" applyNumberFormat="0" applyBorder="0" applyAlignment="0" applyProtection="0"/>
    <xf numFmtId="0" fontId="109" fillId="10" borderId="0" applyNumberFormat="0" applyBorder="0" applyAlignment="0" applyProtection="0"/>
    <xf numFmtId="0" fontId="109" fillId="11" borderId="0" applyNumberFormat="0" applyBorder="0" applyAlignment="0" applyProtection="0"/>
    <xf numFmtId="0" fontId="109" fillId="12" borderId="0" applyNumberFormat="0" applyBorder="0" applyAlignment="0" applyProtection="0"/>
    <xf numFmtId="0" fontId="109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0" fillId="16" borderId="0" applyNumberFormat="0" applyBorder="0" applyAlignment="0" applyProtection="0"/>
    <xf numFmtId="0" fontId="110" fillId="17" borderId="0" applyNumberFormat="0" applyBorder="0" applyAlignment="0" applyProtection="0"/>
    <xf numFmtId="0" fontId="110" fillId="18" borderId="0" applyNumberFormat="0" applyBorder="0" applyAlignment="0" applyProtection="0"/>
    <xf numFmtId="0" fontId="110" fillId="19" borderId="0" applyNumberFormat="0" applyBorder="0" applyAlignment="0" applyProtection="0"/>
    <xf numFmtId="0" fontId="110" fillId="20" borderId="0" applyNumberFormat="0" applyBorder="0" applyAlignment="0" applyProtection="0"/>
    <xf numFmtId="0" fontId="110" fillId="21" borderId="0" applyNumberFormat="0" applyBorder="0" applyAlignment="0" applyProtection="0"/>
    <xf numFmtId="0" fontId="110" fillId="22" borderId="0" applyNumberFormat="0" applyBorder="0" applyAlignment="0" applyProtection="0"/>
    <xf numFmtId="0" fontId="110" fillId="23" borderId="0" applyNumberFormat="0" applyBorder="0" applyAlignment="0" applyProtection="0"/>
    <xf numFmtId="0" fontId="110" fillId="24" borderId="0" applyNumberFormat="0" applyBorder="0" applyAlignment="0" applyProtection="0"/>
    <xf numFmtId="0" fontId="110" fillId="25" borderId="0" applyNumberFormat="0" applyBorder="0" applyAlignment="0" applyProtection="0"/>
    <xf numFmtId="0" fontId="111" fillId="26" borderId="1" applyNumberFormat="0" applyAlignment="0" applyProtection="0"/>
    <xf numFmtId="0" fontId="112" fillId="27" borderId="2" applyNumberFormat="0" applyAlignment="0" applyProtection="0"/>
    <xf numFmtId="0" fontId="11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4" fillId="0" borderId="3" applyNumberFormat="0" applyFill="0" applyAlignment="0" applyProtection="0"/>
    <xf numFmtId="0" fontId="115" fillId="0" borderId="4" applyNumberFormat="0" applyFill="0" applyAlignment="0" applyProtection="0"/>
    <xf numFmtId="0" fontId="116" fillId="0" borderId="5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6" applyNumberFormat="0" applyFill="0" applyAlignment="0" applyProtection="0"/>
    <xf numFmtId="0" fontId="118" fillId="28" borderId="7" applyNumberFormat="0" applyAlignment="0" applyProtection="0"/>
    <xf numFmtId="0" fontId="119" fillId="0" borderId="0" applyNumberFormat="0" applyFill="0" applyBorder="0" applyAlignment="0" applyProtection="0"/>
    <xf numFmtId="0" fontId="120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121" fillId="30" borderId="0" applyNumberFormat="0" applyBorder="0" applyAlignment="0" applyProtection="0"/>
    <xf numFmtId="0" fontId="12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23" fillId="0" borderId="9" applyNumberFormat="0" applyFill="0" applyAlignment="0" applyProtection="0"/>
    <xf numFmtId="0" fontId="1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5" fillId="32" borderId="0" applyNumberFormat="0" applyBorder="0" applyAlignment="0" applyProtection="0"/>
  </cellStyleXfs>
  <cellXfs count="3331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34" borderId="13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49" fontId="3" fillId="0" borderId="18" xfId="0" applyNumberFormat="1" applyFont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/>
    </xf>
    <xf numFmtId="49" fontId="14" fillId="36" borderId="19" xfId="0" applyNumberFormat="1" applyFont="1" applyFill="1" applyBorder="1" applyAlignment="1">
      <alignment horizontal="center" vertical="center" wrapText="1"/>
    </xf>
    <xf numFmtId="0" fontId="0" fillId="37" borderId="16" xfId="0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49" fontId="31" fillId="38" borderId="20" xfId="0" applyNumberFormat="1" applyFont="1" applyFill="1" applyBorder="1" applyAlignment="1">
      <alignment horizontal="justify" vertical="justify" wrapText="1"/>
    </xf>
    <xf numFmtId="49" fontId="31" fillId="38" borderId="21" xfId="0" applyNumberFormat="1" applyFont="1" applyFill="1" applyBorder="1" applyAlignment="1">
      <alignment horizontal="justify" vertical="justify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4" fillId="39" borderId="13" xfId="0" applyNumberFormat="1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>
      <alignment horizontal="center" vertical="center"/>
    </xf>
    <xf numFmtId="49" fontId="1" fillId="35" borderId="24" xfId="0" applyNumberFormat="1" applyFont="1" applyFill="1" applyBorder="1" applyAlignment="1">
      <alignment horizontal="center" vertical="center"/>
    </xf>
    <xf numFmtId="49" fontId="2" fillId="38" borderId="24" xfId="0" applyNumberFormat="1" applyFont="1" applyFill="1" applyBorder="1" applyAlignment="1">
      <alignment horizontal="center" vertical="center"/>
    </xf>
    <xf numFmtId="49" fontId="9" fillId="38" borderId="24" xfId="0" applyNumberFormat="1" applyFont="1" applyFill="1" applyBorder="1" applyAlignment="1">
      <alignment horizontal="center" vertical="center"/>
    </xf>
    <xf numFmtId="49" fontId="1" fillId="40" borderId="25" xfId="0" applyNumberFormat="1" applyFont="1" applyFill="1" applyBorder="1" applyAlignment="1">
      <alignment horizontal="center" vertical="center"/>
    </xf>
    <xf numFmtId="49" fontId="9" fillId="38" borderId="2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14" fillId="34" borderId="16" xfId="0" applyFont="1" applyFill="1" applyBorder="1" applyAlignment="1">
      <alignment vertical="top" wrapText="1"/>
    </xf>
    <xf numFmtId="49" fontId="14" fillId="34" borderId="19" xfId="0" applyNumberFormat="1" applyFont="1" applyFill="1" applyBorder="1" applyAlignment="1">
      <alignment horizontal="center" vertical="center" wrapText="1"/>
    </xf>
    <xf numFmtId="0" fontId="14" fillId="34" borderId="27" xfId="0" applyFont="1" applyFill="1" applyBorder="1" applyAlignment="1">
      <alignment horizontal="center" vertical="center" wrapText="1"/>
    </xf>
    <xf numFmtId="0" fontId="16" fillId="36" borderId="27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31" xfId="0" applyFont="1" applyBorder="1" applyAlignment="1">
      <alignment vertical="top" wrapText="1"/>
    </xf>
    <xf numFmtId="49" fontId="30" fillId="0" borderId="14" xfId="0" applyNumberFormat="1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49" fontId="30" fillId="0" borderId="32" xfId="0" applyNumberFormat="1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top" wrapText="1"/>
    </xf>
    <xf numFmtId="0" fontId="14" fillId="0" borderId="34" xfId="0" applyFont="1" applyBorder="1" applyAlignment="1">
      <alignment horizontal="center" vertical="top" wrapText="1"/>
    </xf>
    <xf numFmtId="49" fontId="14" fillId="0" borderId="35" xfId="0" applyNumberFormat="1" applyFont="1" applyBorder="1" applyAlignment="1">
      <alignment vertical="center" wrapText="1"/>
    </xf>
    <xf numFmtId="0" fontId="14" fillId="0" borderId="36" xfId="0" applyFont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  <xf numFmtId="49" fontId="33" fillId="0" borderId="14" xfId="0" applyNumberFormat="1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 wrapText="1"/>
    </xf>
    <xf numFmtId="49" fontId="30" fillId="38" borderId="32" xfId="0" applyNumberFormat="1" applyFont="1" applyFill="1" applyBorder="1" applyAlignment="1">
      <alignment horizontal="center" vertical="center" wrapText="1"/>
    </xf>
    <xf numFmtId="49" fontId="30" fillId="0" borderId="37" xfId="0" applyNumberFormat="1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49" fontId="33" fillId="0" borderId="14" xfId="0" applyNumberFormat="1" applyFont="1" applyBorder="1" applyAlignment="1">
      <alignment horizontal="center" vertical="center" wrapText="1"/>
    </xf>
    <xf numFmtId="49" fontId="33" fillId="0" borderId="35" xfId="0" applyNumberFormat="1" applyFont="1" applyFill="1" applyBorder="1" applyAlignment="1">
      <alignment horizontal="center" vertical="center" wrapText="1"/>
    </xf>
    <xf numFmtId="0" fontId="33" fillId="0" borderId="36" xfId="0" applyFont="1" applyFill="1" applyBorder="1" applyAlignment="1">
      <alignment horizontal="center" vertical="center" wrapText="1"/>
    </xf>
    <xf numFmtId="0" fontId="30" fillId="36" borderId="16" xfId="0" applyFont="1" applyFill="1" applyBorder="1" applyAlignment="1">
      <alignment vertical="top" wrapText="1"/>
    </xf>
    <xf numFmtId="0" fontId="0" fillId="0" borderId="39" xfId="0" applyBorder="1" applyAlignment="1">
      <alignment/>
    </xf>
    <xf numFmtId="0" fontId="0" fillId="37" borderId="13" xfId="0" applyFill="1" applyBorder="1" applyAlignment="1">
      <alignment/>
    </xf>
    <xf numFmtId="49" fontId="0" fillId="0" borderId="40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175" fontId="1" fillId="35" borderId="11" xfId="0" applyNumberFormat="1" applyFont="1" applyFill="1" applyBorder="1" applyAlignment="1">
      <alignment horizontal="center" vertical="center"/>
    </xf>
    <xf numFmtId="175" fontId="1" fillId="33" borderId="11" xfId="0" applyNumberFormat="1" applyFont="1" applyFill="1" applyBorder="1" applyAlignment="1">
      <alignment horizontal="center" vertical="center"/>
    </xf>
    <xf numFmtId="175" fontId="1" fillId="35" borderId="17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175" fontId="1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13" fillId="0" borderId="41" xfId="0" applyFont="1" applyBorder="1" applyAlignment="1">
      <alignment vertical="top" wrapText="1"/>
    </xf>
    <xf numFmtId="0" fontId="12" fillId="0" borderId="42" xfId="0" applyFont="1" applyBorder="1" applyAlignment="1">
      <alignment vertical="top" wrapText="1"/>
    </xf>
    <xf numFmtId="0" fontId="12" fillId="0" borderId="41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2" fillId="0" borderId="0" xfId="0" applyFont="1" applyFill="1" applyBorder="1" applyAlignment="1">
      <alignment vertical="top" wrapText="1"/>
    </xf>
    <xf numFmtId="1" fontId="0" fillId="0" borderId="11" xfId="0" applyNumberForma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14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40" xfId="0" applyBorder="1" applyAlignment="1">
      <alignment/>
    </xf>
    <xf numFmtId="0" fontId="0" fillId="0" borderId="26" xfId="0" applyBorder="1" applyAlignment="1">
      <alignment/>
    </xf>
    <xf numFmtId="0" fontId="0" fillId="0" borderId="43" xfId="0" applyBorder="1" applyAlignment="1">
      <alignment/>
    </xf>
    <xf numFmtId="2" fontId="0" fillId="0" borderId="43" xfId="0" applyNumberFormat="1" applyBorder="1" applyAlignment="1">
      <alignment/>
    </xf>
    <xf numFmtId="0" fontId="1" fillId="0" borderId="44" xfId="0" applyFont="1" applyBorder="1" applyAlignment="1">
      <alignment/>
    </xf>
    <xf numFmtId="49" fontId="15" fillId="0" borderId="0" xfId="0" applyNumberFormat="1" applyFont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75" fontId="10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5" fontId="7" fillId="0" borderId="11" xfId="0" applyNumberFormat="1" applyFont="1" applyFill="1" applyBorder="1" applyAlignment="1">
      <alignment horizontal="center" vertical="center"/>
    </xf>
    <xf numFmtId="175" fontId="9" fillId="0" borderId="11" xfId="0" applyNumberFormat="1" applyFont="1" applyFill="1" applyBorder="1" applyAlignment="1">
      <alignment horizontal="center" vertical="center"/>
    </xf>
    <xf numFmtId="49" fontId="4" fillId="39" borderId="13" xfId="0" applyNumberFormat="1" applyFont="1" applyFill="1" applyBorder="1" applyAlignment="1">
      <alignment horizontal="center" vertical="center" wrapText="1"/>
    </xf>
    <xf numFmtId="49" fontId="1" fillId="33" borderId="24" xfId="0" applyNumberFormat="1" applyFont="1" applyFill="1" applyBorder="1" applyAlignment="1">
      <alignment horizontal="center" vertical="center" wrapText="1"/>
    </xf>
    <xf numFmtId="49" fontId="1" fillId="35" borderId="25" xfId="0" applyNumberFormat="1" applyFont="1" applyFill="1" applyBorder="1" applyAlignment="1">
      <alignment horizontal="center" vertical="center" wrapText="1"/>
    </xf>
    <xf numFmtId="49" fontId="1" fillId="40" borderId="25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1" fillId="33" borderId="25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" fillId="35" borderId="46" xfId="0" applyNumberFormat="1" applyFont="1" applyFill="1" applyBorder="1" applyAlignment="1">
      <alignment horizontal="center" vertical="center" wrapText="1"/>
    </xf>
    <xf numFmtId="49" fontId="1" fillId="33" borderId="24" xfId="0" applyNumberFormat="1" applyFont="1" applyFill="1" applyBorder="1" applyAlignment="1">
      <alignment horizontal="center" vertical="center"/>
    </xf>
    <xf numFmtId="49" fontId="1" fillId="35" borderId="25" xfId="0" applyNumberFormat="1" applyFont="1" applyFill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/>
    </xf>
    <xf numFmtId="49" fontId="8" fillId="0" borderId="47" xfId="0" applyNumberFormat="1" applyFont="1" applyFill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6" fillId="33" borderId="45" xfId="0" applyNumberFormat="1" applyFont="1" applyFill="1" applyBorder="1" applyAlignment="1">
      <alignment horizontal="center" vertical="center"/>
    </xf>
    <xf numFmtId="49" fontId="2" fillId="38" borderId="25" xfId="0" applyNumberFormat="1" applyFont="1" applyFill="1" applyBorder="1" applyAlignment="1">
      <alignment horizontal="center" vertical="center"/>
    </xf>
    <xf numFmtId="0" fontId="0" fillId="39" borderId="13" xfId="0" applyFill="1" applyBorder="1" applyAlignment="1">
      <alignment horizontal="center"/>
    </xf>
    <xf numFmtId="49" fontId="4" fillId="39" borderId="11" xfId="0" applyNumberFormat="1" applyFont="1" applyFill="1" applyBorder="1" applyAlignment="1">
      <alignment horizontal="center" vertical="center" wrapText="1"/>
    </xf>
    <xf numFmtId="49" fontId="11" fillId="39" borderId="11" xfId="0" applyNumberFormat="1" applyFont="1" applyFill="1" applyBorder="1" applyAlignment="1">
      <alignment horizontal="center" vertical="center" wrapText="1"/>
    </xf>
    <xf numFmtId="175" fontId="4" fillId="39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49" fontId="41" fillId="0" borderId="23" xfId="0" applyNumberFormat="1" applyFont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left" wrapText="1" readingOrder="1"/>
    </xf>
    <xf numFmtId="0" fontId="0" fillId="0" borderId="19" xfId="0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 vertical="center" wrapText="1"/>
    </xf>
    <xf numFmtId="49" fontId="29" fillId="0" borderId="23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wrapText="1" readingOrder="1"/>
    </xf>
    <xf numFmtId="175" fontId="0" fillId="0" borderId="11" xfId="0" applyNumberFormat="1" applyFont="1" applyFill="1" applyBorder="1" applyAlignment="1">
      <alignment horizontal="center" vertical="center"/>
    </xf>
    <xf numFmtId="49" fontId="13" fillId="0" borderId="32" xfId="0" applyNumberFormat="1" applyFont="1" applyBorder="1" applyAlignment="1">
      <alignment horizontal="center" vertical="center" wrapText="1"/>
    </xf>
    <xf numFmtId="175" fontId="17" fillId="37" borderId="22" xfId="0" applyNumberFormat="1" applyFont="1" applyFill="1" applyBorder="1" applyAlignment="1">
      <alignment horizontal="center" vertical="top" wrapText="1"/>
    </xf>
    <xf numFmtId="49" fontId="15" fillId="37" borderId="48" xfId="0" applyNumberFormat="1" applyFont="1" applyFill="1" applyBorder="1" applyAlignment="1">
      <alignment horizontal="center" vertical="center" wrapText="1"/>
    </xf>
    <xf numFmtId="0" fontId="14" fillId="37" borderId="49" xfId="0" applyFont="1" applyFill="1" applyBorder="1" applyAlignment="1">
      <alignment horizontal="center" vertical="center" wrapText="1"/>
    </xf>
    <xf numFmtId="0" fontId="14" fillId="37" borderId="43" xfId="0" applyFont="1" applyFill="1" applyBorder="1" applyAlignment="1">
      <alignment vertical="top" wrapText="1"/>
    </xf>
    <xf numFmtId="49" fontId="33" fillId="0" borderId="14" xfId="0" applyNumberFormat="1" applyFont="1" applyBorder="1" applyAlignment="1">
      <alignment horizontal="center" vertical="center" wrapText="1"/>
    </xf>
    <xf numFmtId="49" fontId="13" fillId="36" borderId="14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/>
    </xf>
    <xf numFmtId="49" fontId="33" fillId="0" borderId="35" xfId="0" applyNumberFormat="1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37" borderId="50" xfId="0" applyFont="1" applyFill="1" applyBorder="1" applyAlignment="1">
      <alignment/>
    </xf>
    <xf numFmtId="175" fontId="4" fillId="0" borderId="42" xfId="0" applyNumberFormat="1" applyFont="1" applyBorder="1" applyAlignment="1">
      <alignment horizontal="center" vertical="center"/>
    </xf>
    <xf numFmtId="175" fontId="4" fillId="37" borderId="51" xfId="0" applyNumberFormat="1" applyFont="1" applyFill="1" applyBorder="1" applyAlignment="1">
      <alignment horizontal="center" vertical="center"/>
    </xf>
    <xf numFmtId="175" fontId="4" fillId="37" borderId="19" xfId="0" applyNumberFormat="1" applyFont="1" applyFill="1" applyBorder="1" applyAlignment="1">
      <alignment horizontal="center" vertical="center"/>
    </xf>
    <xf numFmtId="175" fontId="4" fillId="37" borderId="22" xfId="0" applyNumberFormat="1" applyFont="1" applyFill="1" applyBorder="1" applyAlignment="1">
      <alignment horizontal="center" vertical="center"/>
    </xf>
    <xf numFmtId="175" fontId="4" fillId="0" borderId="52" xfId="0" applyNumberFormat="1" applyFont="1" applyBorder="1" applyAlignment="1">
      <alignment horizontal="center" vertical="center"/>
    </xf>
    <xf numFmtId="175" fontId="17" fillId="0" borderId="53" xfId="0" applyNumberFormat="1" applyFont="1" applyFill="1" applyBorder="1" applyAlignment="1">
      <alignment horizontal="center" vertical="top" wrapText="1"/>
    </xf>
    <xf numFmtId="175" fontId="4" fillId="0" borderId="38" xfId="0" applyNumberFormat="1" applyFont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 wrapText="1"/>
    </xf>
    <xf numFmtId="175" fontId="0" fillId="0" borderId="54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22" xfId="0" applyBorder="1" applyAlignment="1">
      <alignment wrapText="1"/>
    </xf>
    <xf numFmtId="175" fontId="0" fillId="0" borderId="10" xfId="0" applyNumberFormat="1" applyFont="1" applyFill="1" applyBorder="1" applyAlignment="1">
      <alignment horizontal="center" vertical="center"/>
    </xf>
    <xf numFmtId="49" fontId="9" fillId="0" borderId="40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wrapText="1"/>
    </xf>
    <xf numFmtId="0" fontId="0" fillId="0" borderId="44" xfId="0" applyBorder="1" applyAlignment="1">
      <alignment wrapText="1"/>
    </xf>
    <xf numFmtId="175" fontId="0" fillId="33" borderId="11" xfId="0" applyNumberFormat="1" applyFont="1" applyFill="1" applyBorder="1" applyAlignment="1">
      <alignment horizontal="center" vertical="center"/>
    </xf>
    <xf numFmtId="49" fontId="1" fillId="35" borderId="11" xfId="0" applyNumberFormat="1" applyFont="1" applyFill="1" applyBorder="1" applyAlignment="1">
      <alignment horizontal="center" vertical="center" wrapText="1"/>
    </xf>
    <xf numFmtId="175" fontId="2" fillId="33" borderId="11" xfId="0" applyNumberFormat="1" applyFont="1" applyFill="1" applyBorder="1" applyAlignment="1">
      <alignment horizontal="center" vertical="center"/>
    </xf>
    <xf numFmtId="175" fontId="6" fillId="0" borderId="11" xfId="0" applyNumberFormat="1" applyFont="1" applyFill="1" applyBorder="1" applyAlignment="1">
      <alignment horizontal="center" vertical="center"/>
    </xf>
    <xf numFmtId="175" fontId="6" fillId="41" borderId="11" xfId="0" applyNumberFormat="1" applyFont="1" applyFill="1" applyBorder="1" applyAlignment="1">
      <alignment horizontal="center" vertical="center"/>
    </xf>
    <xf numFmtId="175" fontId="0" fillId="0" borderId="29" xfId="0" applyNumberFormat="1" applyFont="1" applyFill="1" applyBorder="1" applyAlignment="1">
      <alignment horizontal="center" vertical="center"/>
    </xf>
    <xf numFmtId="175" fontId="1" fillId="35" borderId="29" xfId="0" applyNumberFormat="1" applyFont="1" applyFill="1" applyBorder="1" applyAlignment="1">
      <alignment horizontal="center" vertical="center"/>
    </xf>
    <xf numFmtId="175" fontId="1" fillId="33" borderId="10" xfId="0" applyNumberFormat="1" applyFont="1" applyFill="1" applyBorder="1" applyAlignment="1">
      <alignment horizontal="center" vertical="center"/>
    </xf>
    <xf numFmtId="175" fontId="1" fillId="35" borderId="10" xfId="0" applyNumberFormat="1" applyFont="1" applyFill="1" applyBorder="1" applyAlignment="1">
      <alignment horizontal="center" vertical="center"/>
    </xf>
    <xf numFmtId="175" fontId="4" fillId="39" borderId="17" xfId="0" applyNumberFormat="1" applyFont="1" applyFill="1" applyBorder="1" applyAlignment="1">
      <alignment horizontal="center" vertical="center"/>
    </xf>
    <xf numFmtId="175" fontId="0" fillId="33" borderId="17" xfId="0" applyNumberFormat="1" applyFont="1" applyFill="1" applyBorder="1" applyAlignment="1">
      <alignment horizontal="center" vertical="center"/>
    </xf>
    <xf numFmtId="175" fontId="6" fillId="0" borderId="17" xfId="0" applyNumberFormat="1" applyFont="1" applyFill="1" applyBorder="1" applyAlignment="1">
      <alignment horizontal="center" vertical="center"/>
    </xf>
    <xf numFmtId="175" fontId="1" fillId="33" borderId="17" xfId="0" applyNumberFormat="1" applyFont="1" applyFill="1" applyBorder="1" applyAlignment="1">
      <alignment horizontal="center" vertical="center"/>
    </xf>
    <xf numFmtId="175" fontId="10" fillId="0" borderId="17" xfId="0" applyNumberFormat="1" applyFont="1" applyFill="1" applyBorder="1" applyAlignment="1">
      <alignment horizontal="center" vertical="center"/>
    </xf>
    <xf numFmtId="175" fontId="7" fillId="0" borderId="17" xfId="0" applyNumberFormat="1" applyFont="1" applyFill="1" applyBorder="1" applyAlignment="1">
      <alignment horizontal="center" vertical="center"/>
    </xf>
    <xf numFmtId="175" fontId="0" fillId="0" borderId="17" xfId="0" applyNumberFormat="1" applyFont="1" applyFill="1" applyBorder="1" applyAlignment="1">
      <alignment horizontal="center" vertical="center"/>
    </xf>
    <xf numFmtId="175" fontId="9" fillId="0" borderId="17" xfId="0" applyNumberFormat="1" applyFont="1" applyFill="1" applyBorder="1" applyAlignment="1">
      <alignment horizontal="center" vertical="center"/>
    </xf>
    <xf numFmtId="175" fontId="1" fillId="0" borderId="17" xfId="0" applyNumberFormat="1" applyFont="1" applyFill="1" applyBorder="1" applyAlignment="1">
      <alignment horizontal="center" vertical="center"/>
    </xf>
    <xf numFmtId="175" fontId="2" fillId="33" borderId="17" xfId="0" applyNumberFormat="1" applyFont="1" applyFill="1" applyBorder="1" applyAlignment="1">
      <alignment horizontal="center" vertical="center"/>
    </xf>
    <xf numFmtId="175" fontId="6" fillId="41" borderId="17" xfId="0" applyNumberFormat="1" applyFont="1" applyFill="1" applyBorder="1" applyAlignment="1">
      <alignment horizontal="center" vertical="center"/>
    </xf>
    <xf numFmtId="175" fontId="0" fillId="0" borderId="55" xfId="0" applyNumberFormat="1" applyFont="1" applyFill="1" applyBorder="1" applyAlignment="1">
      <alignment horizontal="center" vertical="center"/>
    </xf>
    <xf numFmtId="175" fontId="4" fillId="39" borderId="10" xfId="0" applyNumberFormat="1" applyFont="1" applyFill="1" applyBorder="1" applyAlignment="1">
      <alignment horizontal="center" vertical="center"/>
    </xf>
    <xf numFmtId="175" fontId="0" fillId="33" borderId="10" xfId="0" applyNumberFormat="1" applyFont="1" applyFill="1" applyBorder="1" applyAlignment="1">
      <alignment horizontal="center" vertical="center"/>
    </xf>
    <xf numFmtId="175" fontId="1" fillId="0" borderId="10" xfId="0" applyNumberFormat="1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 horizontal="center" vertical="center"/>
    </xf>
    <xf numFmtId="175" fontId="10" fillId="0" borderId="10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wrapText="1" readingOrder="1"/>
    </xf>
    <xf numFmtId="49" fontId="26" fillId="0" borderId="41" xfId="0" applyNumberFormat="1" applyFont="1" applyFill="1" applyBorder="1" applyAlignment="1">
      <alignment horizontal="center" vertical="center" wrapText="1"/>
    </xf>
    <xf numFmtId="49" fontId="26" fillId="0" borderId="41" xfId="0" applyNumberFormat="1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175" fontId="0" fillId="0" borderId="31" xfId="0" applyNumberFormat="1" applyFont="1" applyFill="1" applyBorder="1" applyAlignment="1">
      <alignment horizontal="center" vertical="center"/>
    </xf>
    <xf numFmtId="0" fontId="0" fillId="0" borderId="56" xfId="0" applyBorder="1" applyAlignment="1">
      <alignment wrapText="1"/>
    </xf>
    <xf numFmtId="175" fontId="4" fillId="39" borderId="29" xfId="0" applyNumberFormat="1" applyFont="1" applyFill="1" applyBorder="1" applyAlignment="1">
      <alignment horizontal="center" vertical="center"/>
    </xf>
    <xf numFmtId="175" fontId="0" fillId="33" borderId="29" xfId="0" applyNumberFormat="1" applyFont="1" applyFill="1" applyBorder="1" applyAlignment="1">
      <alignment horizontal="center" vertical="center"/>
    </xf>
    <xf numFmtId="175" fontId="6" fillId="0" borderId="29" xfId="0" applyNumberFormat="1" applyFont="1" applyFill="1" applyBorder="1" applyAlignment="1">
      <alignment horizontal="center" vertical="center"/>
    </xf>
    <xf numFmtId="175" fontId="1" fillId="33" borderId="29" xfId="0" applyNumberFormat="1" applyFont="1" applyFill="1" applyBorder="1" applyAlignment="1">
      <alignment horizontal="center" vertical="center"/>
    </xf>
    <xf numFmtId="175" fontId="10" fillId="0" borderId="29" xfId="0" applyNumberFormat="1" applyFont="1" applyFill="1" applyBorder="1" applyAlignment="1">
      <alignment horizontal="center" vertical="center"/>
    </xf>
    <xf numFmtId="175" fontId="7" fillId="0" borderId="29" xfId="0" applyNumberFormat="1" applyFont="1" applyFill="1" applyBorder="1" applyAlignment="1">
      <alignment horizontal="center" vertical="center"/>
    </xf>
    <xf numFmtId="175" fontId="9" fillId="0" borderId="29" xfId="0" applyNumberFormat="1" applyFont="1" applyFill="1" applyBorder="1" applyAlignment="1">
      <alignment horizontal="center" vertical="center"/>
    </xf>
    <xf numFmtId="175" fontId="1" fillId="0" borderId="29" xfId="0" applyNumberFormat="1" applyFont="1" applyFill="1" applyBorder="1" applyAlignment="1">
      <alignment horizontal="center" vertical="center"/>
    </xf>
    <xf numFmtId="175" fontId="2" fillId="33" borderId="29" xfId="0" applyNumberFormat="1" applyFont="1" applyFill="1" applyBorder="1" applyAlignment="1">
      <alignment horizontal="center" vertical="center"/>
    </xf>
    <xf numFmtId="175" fontId="6" fillId="41" borderId="29" xfId="0" applyNumberFormat="1" applyFont="1" applyFill="1" applyBorder="1" applyAlignment="1">
      <alignment horizontal="center" vertical="center"/>
    </xf>
    <xf numFmtId="175" fontId="7" fillId="0" borderId="57" xfId="0" applyNumberFormat="1" applyFont="1" applyFill="1" applyBorder="1" applyAlignment="1">
      <alignment horizontal="center" vertical="center"/>
    </xf>
    <xf numFmtId="175" fontId="7" fillId="0" borderId="58" xfId="0" applyNumberFormat="1" applyFont="1" applyFill="1" applyBorder="1" applyAlignment="1">
      <alignment horizontal="center" vertical="center"/>
    </xf>
    <xf numFmtId="175" fontId="7" fillId="0" borderId="36" xfId="0" applyNumberFormat="1" applyFont="1" applyFill="1" applyBorder="1" applyAlignment="1">
      <alignment horizontal="center" vertical="center"/>
    </xf>
    <xf numFmtId="49" fontId="7" fillId="0" borderId="55" xfId="0" applyNumberFormat="1" applyFont="1" applyBorder="1" applyAlignment="1">
      <alignment horizontal="center" vertical="center"/>
    </xf>
    <xf numFmtId="49" fontId="4" fillId="39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1" fillId="40" borderId="2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26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/>
    </xf>
    <xf numFmtId="49" fontId="13" fillId="0" borderId="43" xfId="0" applyNumberFormat="1" applyFont="1" applyBorder="1" applyAlignment="1">
      <alignment horizontal="right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175" fontId="0" fillId="0" borderId="0" xfId="0" applyNumberFormat="1" applyAlignment="1">
      <alignment horizontal="center"/>
    </xf>
    <xf numFmtId="175" fontId="0" fillId="0" borderId="0" xfId="0" applyNumberFormat="1" applyFont="1" applyFill="1" applyBorder="1" applyAlignment="1">
      <alignment horizontal="center" vertical="center"/>
    </xf>
    <xf numFmtId="49" fontId="1" fillId="35" borderId="40" xfId="0" applyNumberFormat="1" applyFont="1" applyFill="1" applyBorder="1" applyAlignment="1">
      <alignment horizontal="center" vertical="center"/>
    </xf>
    <xf numFmtId="175" fontId="0" fillId="0" borderId="59" xfId="0" applyNumberFormat="1" applyFont="1" applyFill="1" applyBorder="1" applyAlignment="1">
      <alignment horizontal="center" vertical="center"/>
    </xf>
    <xf numFmtId="175" fontId="6" fillId="0" borderId="57" xfId="0" applyNumberFormat="1" applyFont="1" applyFill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36" fillId="0" borderId="14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40" borderId="11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4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6" fillId="40" borderId="14" xfId="0" applyFont="1" applyFill="1" applyBorder="1" applyAlignment="1">
      <alignment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173" fontId="9" fillId="0" borderId="10" xfId="0" applyNumberFormat="1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173" fontId="36" fillId="0" borderId="10" xfId="0" applyNumberFormat="1" applyFont="1" applyBorder="1" applyAlignment="1">
      <alignment horizontal="center" vertical="center" wrapText="1"/>
    </xf>
    <xf numFmtId="173" fontId="1" fillId="40" borderId="10" xfId="0" applyNumberFormat="1" applyFont="1" applyFill="1" applyBorder="1" applyAlignment="1">
      <alignment horizontal="center" vertical="center" wrapText="1"/>
    </xf>
    <xf numFmtId="173" fontId="10" fillId="0" borderId="10" xfId="0" applyNumberFormat="1" applyFont="1" applyBorder="1" applyAlignment="1">
      <alignment horizontal="center" vertical="center" wrapText="1"/>
    </xf>
    <xf numFmtId="173" fontId="5" fillId="0" borderId="11" xfId="0" applyNumberFormat="1" applyFont="1" applyBorder="1" applyAlignment="1">
      <alignment horizontal="center" vertical="center"/>
    </xf>
    <xf numFmtId="173" fontId="5" fillId="0" borderId="29" xfId="0" applyNumberFormat="1" applyFont="1" applyBorder="1" applyAlignment="1">
      <alignment horizontal="center" vertical="center"/>
    </xf>
    <xf numFmtId="173" fontId="20" fillId="0" borderId="11" xfId="0" applyNumberFormat="1" applyFont="1" applyFill="1" applyBorder="1" applyAlignment="1">
      <alignment horizontal="center" vertical="center" wrapText="1"/>
    </xf>
    <xf numFmtId="173" fontId="20" fillId="0" borderId="29" xfId="0" applyNumberFormat="1" applyFont="1" applyFill="1" applyBorder="1" applyAlignment="1">
      <alignment horizontal="center" vertical="center" wrapText="1"/>
    </xf>
    <xf numFmtId="173" fontId="36" fillId="0" borderId="11" xfId="0" applyNumberFormat="1" applyFont="1" applyFill="1" applyBorder="1" applyAlignment="1">
      <alignment horizontal="center" vertical="center"/>
    </xf>
    <xf numFmtId="173" fontId="36" fillId="0" borderId="29" xfId="0" applyNumberFormat="1" applyFont="1" applyFill="1" applyBorder="1" applyAlignment="1">
      <alignment horizontal="center" vertical="center"/>
    </xf>
    <xf numFmtId="173" fontId="39" fillId="0" borderId="11" xfId="0" applyNumberFormat="1" applyFont="1" applyFill="1" applyBorder="1" applyAlignment="1">
      <alignment horizontal="center" vertical="center" wrapText="1"/>
    </xf>
    <xf numFmtId="173" fontId="39" fillId="0" borderId="29" xfId="0" applyNumberFormat="1" applyFont="1" applyFill="1" applyBorder="1" applyAlignment="1">
      <alignment horizontal="center" vertical="center" wrapText="1"/>
    </xf>
    <xf numFmtId="173" fontId="37" fillId="0" borderId="11" xfId="0" applyNumberFormat="1" applyFont="1" applyFill="1" applyBorder="1" applyAlignment="1">
      <alignment horizontal="center" vertical="center" wrapText="1"/>
    </xf>
    <xf numFmtId="173" fontId="37" fillId="0" borderId="29" xfId="0" applyNumberFormat="1" applyFont="1" applyFill="1" applyBorder="1" applyAlignment="1">
      <alignment horizontal="center" vertical="center" wrapText="1"/>
    </xf>
    <xf numFmtId="173" fontId="5" fillId="0" borderId="11" xfId="0" applyNumberFormat="1" applyFont="1" applyFill="1" applyBorder="1" applyAlignment="1">
      <alignment horizontal="center" vertical="center"/>
    </xf>
    <xf numFmtId="173" fontId="5" fillId="0" borderId="29" xfId="0" applyNumberFormat="1" applyFont="1" applyFill="1" applyBorder="1" applyAlignment="1">
      <alignment horizontal="center" vertical="center"/>
    </xf>
    <xf numFmtId="173" fontId="10" fillId="0" borderId="11" xfId="0" applyNumberFormat="1" applyFont="1" applyBorder="1" applyAlignment="1">
      <alignment horizontal="center" vertical="center"/>
    </xf>
    <xf numFmtId="173" fontId="10" fillId="0" borderId="29" xfId="0" applyNumberFormat="1" applyFont="1" applyBorder="1" applyAlignment="1">
      <alignment horizontal="center" vertical="center"/>
    </xf>
    <xf numFmtId="173" fontId="5" fillId="0" borderId="11" xfId="0" applyNumberFormat="1" applyFont="1" applyBorder="1" applyAlignment="1">
      <alignment horizontal="center" vertical="center"/>
    </xf>
    <xf numFmtId="173" fontId="5" fillId="0" borderId="29" xfId="0" applyNumberFormat="1" applyFont="1" applyBorder="1" applyAlignment="1">
      <alignment horizontal="center" vertical="center"/>
    </xf>
    <xf numFmtId="173" fontId="39" fillId="0" borderId="11" xfId="0" applyNumberFormat="1" applyFont="1" applyBorder="1" applyAlignment="1">
      <alignment horizontal="center" vertical="center" wrapText="1"/>
    </xf>
    <xf numFmtId="173" fontId="39" fillId="0" borderId="29" xfId="0" applyNumberFormat="1" applyFont="1" applyBorder="1" applyAlignment="1">
      <alignment horizontal="center" vertical="center" wrapText="1"/>
    </xf>
    <xf numFmtId="173" fontId="20" fillId="0" borderId="11" xfId="0" applyNumberFormat="1" applyFont="1" applyBorder="1" applyAlignment="1">
      <alignment horizontal="center" vertical="center" wrapText="1"/>
    </xf>
    <xf numFmtId="173" fontId="36" fillId="0" borderId="11" xfId="0" applyNumberFormat="1" applyFont="1" applyBorder="1" applyAlignment="1">
      <alignment horizontal="center" vertical="center"/>
    </xf>
    <xf numFmtId="173" fontId="36" fillId="0" borderId="29" xfId="0" applyNumberFormat="1" applyFont="1" applyBorder="1" applyAlignment="1">
      <alignment horizontal="center" vertical="center"/>
    </xf>
    <xf numFmtId="173" fontId="20" fillId="0" borderId="29" xfId="0" applyNumberFormat="1" applyFont="1" applyBorder="1" applyAlignment="1">
      <alignment horizontal="center" vertical="center" wrapText="1"/>
    </xf>
    <xf numFmtId="173" fontId="23" fillId="0" borderId="11" xfId="0" applyNumberFormat="1" applyFont="1" applyFill="1" applyBorder="1" applyAlignment="1">
      <alignment horizontal="center" vertical="center" wrapText="1"/>
    </xf>
    <xf numFmtId="173" fontId="23" fillId="0" borderId="29" xfId="0" applyNumberFormat="1" applyFont="1" applyFill="1" applyBorder="1" applyAlignment="1">
      <alignment horizontal="center" vertical="center" wrapText="1"/>
    </xf>
    <xf numFmtId="173" fontId="39" fillId="0" borderId="10" xfId="0" applyNumberFormat="1" applyFont="1" applyFill="1" applyBorder="1" applyAlignment="1">
      <alignment horizontal="center" vertical="center" wrapText="1"/>
    </xf>
    <xf numFmtId="173" fontId="43" fillId="0" borderId="11" xfId="0" applyNumberFormat="1" applyFont="1" applyFill="1" applyBorder="1" applyAlignment="1">
      <alignment horizontal="center" vertical="center" wrapText="1"/>
    </xf>
    <xf numFmtId="173" fontId="43" fillId="0" borderId="29" xfId="0" applyNumberFormat="1" applyFont="1" applyFill="1" applyBorder="1" applyAlignment="1">
      <alignment horizontal="center" vertical="center" wrapText="1"/>
    </xf>
    <xf numFmtId="173" fontId="23" fillId="36" borderId="10" xfId="0" applyNumberFormat="1" applyFont="1" applyFill="1" applyBorder="1" applyAlignment="1">
      <alignment horizontal="center" vertical="center" wrapText="1"/>
    </xf>
    <xf numFmtId="173" fontId="45" fillId="34" borderId="22" xfId="0" applyNumberFormat="1" applyFont="1" applyFill="1" applyBorder="1" applyAlignment="1">
      <alignment horizontal="center" vertical="center" wrapText="1"/>
    </xf>
    <xf numFmtId="173" fontId="45" fillId="34" borderId="23" xfId="0" applyNumberFormat="1" applyFont="1" applyFill="1" applyBorder="1" applyAlignment="1">
      <alignment horizontal="center" vertical="center" wrapText="1"/>
    </xf>
    <xf numFmtId="173" fontId="45" fillId="37" borderId="42" xfId="0" applyNumberFormat="1" applyFont="1" applyFill="1" applyBorder="1" applyAlignment="1">
      <alignment horizontal="center" vertical="center" wrapText="1"/>
    </xf>
    <xf numFmtId="173" fontId="45" fillId="37" borderId="38" xfId="0" applyNumberFormat="1" applyFont="1" applyFill="1" applyBorder="1" applyAlignment="1">
      <alignment horizontal="center" vertical="center" wrapText="1"/>
    </xf>
    <xf numFmtId="173" fontId="34" fillId="36" borderId="22" xfId="0" applyNumberFormat="1" applyFont="1" applyFill="1" applyBorder="1" applyAlignment="1">
      <alignment horizontal="center" vertical="center" wrapText="1"/>
    </xf>
    <xf numFmtId="173" fontId="34" fillId="0" borderId="11" xfId="0" applyNumberFormat="1" applyFont="1" applyFill="1" applyBorder="1" applyAlignment="1">
      <alignment horizontal="center" vertical="center" wrapText="1"/>
    </xf>
    <xf numFmtId="49" fontId="31" fillId="38" borderId="11" xfId="0" applyNumberFormat="1" applyFont="1" applyFill="1" applyBorder="1" applyAlignment="1">
      <alignment horizontal="center" vertical="top" wrapText="1"/>
    </xf>
    <xf numFmtId="173" fontId="46" fillId="0" borderId="11" xfId="0" applyNumberFormat="1" applyFont="1" applyFill="1" applyBorder="1" applyAlignment="1">
      <alignment horizontal="center" vertical="center" wrapText="1"/>
    </xf>
    <xf numFmtId="173" fontId="31" fillId="0" borderId="11" xfId="0" applyNumberFormat="1" applyFont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top" wrapText="1"/>
    </xf>
    <xf numFmtId="49" fontId="30" fillId="0" borderId="1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175" fontId="7" fillId="0" borderId="6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7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75" fontId="7" fillId="0" borderId="59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left" wrapText="1" readingOrder="1"/>
    </xf>
    <xf numFmtId="49" fontId="7" fillId="0" borderId="51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175" fontId="6" fillId="0" borderId="22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left" wrapText="1" readingOrder="1"/>
    </xf>
    <xf numFmtId="49" fontId="9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 wrapText="1" readingOrder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49" fontId="12" fillId="0" borderId="12" xfId="0" applyNumberFormat="1" applyFont="1" applyFill="1" applyBorder="1" applyAlignment="1">
      <alignment horizontal="center" vertical="top" wrapText="1"/>
    </xf>
    <xf numFmtId="173" fontId="31" fillId="0" borderId="12" xfId="0" applyNumberFormat="1" applyFont="1" applyBorder="1" applyAlignment="1">
      <alignment horizontal="center" vertical="center"/>
    </xf>
    <xf numFmtId="173" fontId="34" fillId="37" borderId="22" xfId="0" applyNumberFormat="1" applyFont="1" applyFill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left" vertical="center" wrapText="1"/>
    </xf>
    <xf numFmtId="173" fontId="34" fillId="36" borderId="11" xfId="0" applyNumberFormat="1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173" fontId="17" fillId="36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4" fillId="37" borderId="11" xfId="0" applyFont="1" applyFill="1" applyBorder="1" applyAlignment="1">
      <alignment horizontal="center" vertical="center" wrapText="1"/>
    </xf>
    <xf numFmtId="173" fontId="0" fillId="37" borderId="11" xfId="0" applyNumberFormat="1" applyFont="1" applyFill="1" applyBorder="1" applyAlignment="1">
      <alignment horizontal="center" vertical="center"/>
    </xf>
    <xf numFmtId="173" fontId="23" fillId="36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3" fillId="36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49" fontId="14" fillId="36" borderId="14" xfId="0" applyNumberFormat="1" applyFont="1" applyFill="1" applyBorder="1" applyAlignment="1">
      <alignment horizontal="center" vertical="center" wrapText="1"/>
    </xf>
    <xf numFmtId="173" fontId="34" fillId="36" borderId="29" xfId="0" applyNumberFormat="1" applyFont="1" applyFill="1" applyBorder="1" applyAlignment="1">
      <alignment horizontal="center" vertical="center" wrapText="1"/>
    </xf>
    <xf numFmtId="173" fontId="17" fillId="36" borderId="29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49" fontId="14" fillId="37" borderId="14" xfId="0" applyNumberFormat="1" applyFont="1" applyFill="1" applyBorder="1" applyAlignment="1">
      <alignment horizontal="center" vertical="center" wrapText="1"/>
    </xf>
    <xf numFmtId="173" fontId="0" fillId="37" borderId="29" xfId="0" applyNumberFormat="1" applyFont="1" applyFill="1" applyBorder="1" applyAlignment="1">
      <alignment horizontal="center" vertical="center"/>
    </xf>
    <xf numFmtId="173" fontId="23" fillId="36" borderId="29" xfId="0" applyNumberFormat="1" applyFont="1" applyFill="1" applyBorder="1" applyAlignment="1">
      <alignment horizontal="center" vertical="center" wrapText="1"/>
    </xf>
    <xf numFmtId="49" fontId="16" fillId="36" borderId="14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49" fontId="15" fillId="34" borderId="14" xfId="0" applyNumberFormat="1" applyFont="1" applyFill="1" applyBorder="1" applyAlignment="1">
      <alignment horizontal="center" vertical="center" wrapText="1"/>
    </xf>
    <xf numFmtId="49" fontId="33" fillId="0" borderId="15" xfId="0" applyNumberFormat="1" applyFont="1" applyBorder="1" applyAlignment="1">
      <alignment horizontal="center" vertical="center" wrapText="1"/>
    </xf>
    <xf numFmtId="49" fontId="33" fillId="35" borderId="48" xfId="0" applyNumberFormat="1" applyFont="1" applyFill="1" applyBorder="1" applyAlignment="1">
      <alignment horizontal="center" vertical="center" wrapText="1"/>
    </xf>
    <xf numFmtId="49" fontId="12" fillId="35" borderId="61" xfId="0" applyNumberFormat="1" applyFont="1" applyFill="1" applyBorder="1" applyAlignment="1">
      <alignment horizontal="center" vertical="top" wrapText="1"/>
    </xf>
    <xf numFmtId="173" fontId="1" fillId="35" borderId="61" xfId="0" applyNumberFormat="1" applyFont="1" applyFill="1" applyBorder="1" applyAlignment="1">
      <alignment horizontal="center" vertical="center"/>
    </xf>
    <xf numFmtId="173" fontId="1" fillId="35" borderId="49" xfId="0" applyNumberFormat="1" applyFont="1" applyFill="1" applyBorder="1" applyAlignment="1">
      <alignment horizontal="center" vertical="center"/>
    </xf>
    <xf numFmtId="173" fontId="34" fillId="34" borderId="23" xfId="0" applyNumberFormat="1" applyFont="1" applyFill="1" applyBorder="1" applyAlignment="1">
      <alignment horizontal="center" vertical="top" wrapText="1"/>
    </xf>
    <xf numFmtId="173" fontId="34" fillId="34" borderId="27" xfId="0" applyNumberFormat="1" applyFont="1" applyFill="1" applyBorder="1" applyAlignment="1">
      <alignment horizontal="center" vertical="top" wrapText="1"/>
    </xf>
    <xf numFmtId="49" fontId="33" fillId="0" borderId="62" xfId="0" applyNumberFormat="1" applyFont="1" applyFill="1" applyBorder="1" applyAlignment="1">
      <alignment horizontal="center" vertical="center" wrapText="1"/>
    </xf>
    <xf numFmtId="49" fontId="30" fillId="0" borderId="63" xfId="0" applyNumberFormat="1" applyFont="1" applyFill="1" applyBorder="1" applyAlignment="1">
      <alignment horizontal="center" vertical="top" wrapText="1"/>
    </xf>
    <xf numFmtId="173" fontId="1" fillId="0" borderId="63" xfId="0" applyNumberFormat="1" applyFont="1" applyFill="1" applyBorder="1" applyAlignment="1">
      <alignment horizontal="center" vertical="center"/>
    </xf>
    <xf numFmtId="173" fontId="1" fillId="0" borderId="64" xfId="0" applyNumberFormat="1" applyFont="1" applyFill="1" applyBorder="1" applyAlignment="1">
      <alignment horizontal="center" vertical="center"/>
    </xf>
    <xf numFmtId="173" fontId="34" fillId="0" borderId="29" xfId="0" applyNumberFormat="1" applyFont="1" applyFill="1" applyBorder="1" applyAlignment="1">
      <alignment horizontal="center" vertical="center" wrapText="1"/>
    </xf>
    <xf numFmtId="173" fontId="46" fillId="0" borderId="29" xfId="0" applyNumberFormat="1" applyFont="1" applyFill="1" applyBorder="1" applyAlignment="1">
      <alignment horizontal="center" vertical="center" wrapText="1"/>
    </xf>
    <xf numFmtId="173" fontId="31" fillId="0" borderId="29" xfId="0" applyNumberFormat="1" applyFont="1" applyBorder="1" applyAlignment="1">
      <alignment horizontal="center" vertical="center"/>
    </xf>
    <xf numFmtId="173" fontId="31" fillId="0" borderId="28" xfId="0" applyNumberFormat="1" applyFont="1" applyBorder="1" applyAlignment="1">
      <alignment horizontal="center" vertical="center"/>
    </xf>
    <xf numFmtId="0" fontId="30" fillId="36" borderId="20" xfId="0" applyFont="1" applyFill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30" fillId="36" borderId="20" xfId="0" applyFont="1" applyFill="1" applyBorder="1" applyAlignment="1">
      <alignment vertical="top" wrapText="1"/>
    </xf>
    <xf numFmtId="0" fontId="40" fillId="37" borderId="20" xfId="0" applyFont="1" applyFill="1" applyBorder="1" applyAlignment="1">
      <alignment vertical="top" wrapText="1"/>
    </xf>
    <xf numFmtId="0" fontId="30" fillId="36" borderId="20" xfId="0" applyFont="1" applyFill="1" applyBorder="1" applyAlignment="1">
      <alignment vertical="center" wrapText="1"/>
    </xf>
    <xf numFmtId="0" fontId="30" fillId="0" borderId="20" xfId="0" applyFont="1" applyFill="1" applyBorder="1" applyAlignment="1">
      <alignment vertical="top" wrapText="1"/>
    </xf>
    <xf numFmtId="0" fontId="19" fillId="0" borderId="20" xfId="0" applyFont="1" applyFill="1" applyBorder="1" applyAlignment="1">
      <alignment vertical="center" wrapText="1"/>
    </xf>
    <xf numFmtId="0" fontId="33" fillId="0" borderId="20" xfId="0" applyFont="1" applyFill="1" applyBorder="1" applyAlignment="1">
      <alignment vertical="center" wrapText="1"/>
    </xf>
    <xf numFmtId="0" fontId="30" fillId="0" borderId="20" xfId="0" applyFont="1" applyFill="1" applyBorder="1" applyAlignment="1">
      <alignment vertical="center" wrapText="1"/>
    </xf>
    <xf numFmtId="0" fontId="33" fillId="0" borderId="20" xfId="0" applyFont="1" applyFill="1" applyBorder="1" applyAlignment="1">
      <alignment vertical="center" wrapText="1"/>
    </xf>
    <xf numFmtId="0" fontId="13" fillId="36" borderId="20" xfId="0" applyFont="1" applyFill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33" fillId="0" borderId="20" xfId="0" applyFont="1" applyBorder="1" applyAlignment="1">
      <alignment vertical="center" wrapText="1"/>
    </xf>
    <xf numFmtId="0" fontId="14" fillId="34" borderId="20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 wrapText="1"/>
    </xf>
    <xf numFmtId="0" fontId="21" fillId="0" borderId="20" xfId="0" applyFont="1" applyFill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49" fontId="30" fillId="35" borderId="65" xfId="0" applyNumberFormat="1" applyFont="1" applyFill="1" applyBorder="1" applyAlignment="1">
      <alignment horizontal="left" vertical="center" wrapText="1"/>
    </xf>
    <xf numFmtId="49" fontId="13" fillId="0" borderId="66" xfId="0" applyNumberFormat="1" applyFont="1" applyFill="1" applyBorder="1" applyAlignment="1">
      <alignment horizontal="justify" vertical="justify" wrapText="1"/>
    </xf>
    <xf numFmtId="49" fontId="30" fillId="0" borderId="20" xfId="0" applyNumberFormat="1" applyFont="1" applyFill="1" applyBorder="1" applyAlignment="1">
      <alignment horizontal="justify" vertical="justify" wrapText="1"/>
    </xf>
    <xf numFmtId="49" fontId="30" fillId="0" borderId="20" xfId="0" applyNumberFormat="1" applyFont="1" applyFill="1" applyBorder="1" applyAlignment="1">
      <alignment horizontal="left" vertical="center" wrapText="1"/>
    </xf>
    <xf numFmtId="0" fontId="14" fillId="37" borderId="16" xfId="0" applyFont="1" applyFill="1" applyBorder="1" applyAlignment="1">
      <alignment/>
    </xf>
    <xf numFmtId="173" fontId="34" fillId="34" borderId="51" xfId="0" applyNumberFormat="1" applyFont="1" applyFill="1" applyBorder="1" applyAlignment="1">
      <alignment horizontal="center" vertical="top" wrapText="1"/>
    </xf>
    <xf numFmtId="173" fontId="1" fillId="35" borderId="67" xfId="0" applyNumberFormat="1" applyFont="1" applyFill="1" applyBorder="1" applyAlignment="1">
      <alignment horizontal="center" vertical="center"/>
    </xf>
    <xf numFmtId="173" fontId="1" fillId="0" borderId="68" xfId="0" applyNumberFormat="1" applyFont="1" applyFill="1" applyBorder="1" applyAlignment="1">
      <alignment horizontal="center" vertical="center"/>
    </xf>
    <xf numFmtId="173" fontId="34" fillId="0" borderId="17" xfId="0" applyNumberFormat="1" applyFont="1" applyFill="1" applyBorder="1" applyAlignment="1">
      <alignment horizontal="center" vertical="center" wrapText="1"/>
    </xf>
    <xf numFmtId="173" fontId="46" fillId="0" borderId="17" xfId="0" applyNumberFormat="1" applyFont="1" applyFill="1" applyBorder="1" applyAlignment="1">
      <alignment horizontal="center" vertical="center" wrapText="1"/>
    </xf>
    <xf numFmtId="173" fontId="31" fillId="0" borderId="17" xfId="0" applyNumberFormat="1" applyFont="1" applyBorder="1" applyAlignment="1">
      <alignment horizontal="center" vertical="center"/>
    </xf>
    <xf numFmtId="173" fontId="31" fillId="0" borderId="69" xfId="0" applyNumberFormat="1" applyFont="1" applyBorder="1" applyAlignment="1">
      <alignment horizontal="center" vertical="center"/>
    </xf>
    <xf numFmtId="173" fontId="34" fillId="37" borderId="50" xfId="0" applyNumberFormat="1" applyFont="1" applyFill="1" applyBorder="1" applyAlignment="1">
      <alignment horizontal="center" vertical="top" wrapText="1"/>
    </xf>
    <xf numFmtId="173" fontId="34" fillId="35" borderId="53" xfId="0" applyNumberFormat="1" applyFont="1" applyFill="1" applyBorder="1" applyAlignment="1">
      <alignment horizontal="center" vertical="center" wrapText="1"/>
    </xf>
    <xf numFmtId="173" fontId="34" fillId="0" borderId="33" xfId="0" applyNumberFormat="1" applyFont="1" applyFill="1" applyBorder="1" applyAlignment="1">
      <alignment horizontal="center" vertical="center" wrapText="1"/>
    </xf>
    <xf numFmtId="173" fontId="46" fillId="0" borderId="10" xfId="0" applyNumberFormat="1" applyFont="1" applyFill="1" applyBorder="1" applyAlignment="1">
      <alignment horizontal="center" vertical="center" wrapText="1"/>
    </xf>
    <xf numFmtId="173" fontId="46" fillId="0" borderId="59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0" fillId="38" borderId="70" xfId="0" applyFont="1" applyFill="1" applyBorder="1" applyAlignment="1">
      <alignment horizontal="center" vertical="center" wrapText="1"/>
    </xf>
    <xf numFmtId="173" fontId="47" fillId="0" borderId="10" xfId="0" applyNumberFormat="1" applyFont="1" applyBorder="1" applyAlignment="1">
      <alignment horizontal="center" vertical="center" wrapText="1"/>
    </xf>
    <xf numFmtId="173" fontId="9" fillId="0" borderId="59" xfId="0" applyNumberFormat="1" applyFont="1" applyBorder="1" applyAlignment="1">
      <alignment horizontal="center" vertical="center" wrapText="1"/>
    </xf>
    <xf numFmtId="173" fontId="39" fillId="37" borderId="22" xfId="0" applyNumberFormat="1" applyFont="1" applyFill="1" applyBorder="1" applyAlignment="1">
      <alignment horizontal="center" vertical="top" wrapText="1"/>
    </xf>
    <xf numFmtId="0" fontId="1" fillId="0" borderId="19" xfId="0" applyFont="1" applyBorder="1" applyAlignment="1">
      <alignment/>
    </xf>
    <xf numFmtId="173" fontId="37" fillId="0" borderId="71" xfId="0" applyNumberFormat="1" applyFont="1" applyFill="1" applyBorder="1" applyAlignment="1">
      <alignment horizontal="center" vertical="center" wrapText="1"/>
    </xf>
    <xf numFmtId="0" fontId="0" fillId="0" borderId="72" xfId="0" applyBorder="1" applyAlignment="1">
      <alignment/>
    </xf>
    <xf numFmtId="0" fontId="1" fillId="0" borderId="40" xfId="0" applyFont="1" applyBorder="1" applyAlignment="1">
      <alignment horizontal="center"/>
    </xf>
    <xf numFmtId="0" fontId="19" fillId="0" borderId="70" xfId="0" applyFont="1" applyBorder="1" applyAlignment="1">
      <alignment horizontal="left" vertical="center" wrapText="1"/>
    </xf>
    <xf numFmtId="0" fontId="31" fillId="0" borderId="20" xfId="0" applyFont="1" applyBorder="1" applyAlignment="1">
      <alignment horizontal="left" vertical="center" wrapText="1"/>
    </xf>
    <xf numFmtId="0" fontId="30" fillId="0" borderId="20" xfId="0" applyFont="1" applyBorder="1" applyAlignment="1">
      <alignment horizontal="left" vertical="center" wrapText="1"/>
    </xf>
    <xf numFmtId="0" fontId="40" fillId="37" borderId="20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33" fillId="0" borderId="20" xfId="0" applyFont="1" applyFill="1" applyBorder="1" applyAlignment="1">
      <alignment horizontal="left" vertical="center" wrapText="1"/>
    </xf>
    <xf numFmtId="0" fontId="33" fillId="0" borderId="20" xfId="0" applyFont="1" applyFill="1" applyBorder="1" applyAlignment="1">
      <alignment horizontal="left" vertical="center" wrapText="1"/>
    </xf>
    <xf numFmtId="0" fontId="13" fillId="36" borderId="20" xfId="0" applyFont="1" applyFill="1" applyBorder="1" applyAlignment="1">
      <alignment horizontal="left" vertical="center" wrapText="1"/>
    </xf>
    <xf numFmtId="0" fontId="33" fillId="0" borderId="20" xfId="0" applyFont="1" applyBorder="1" applyAlignment="1">
      <alignment horizontal="left" vertical="center" wrapText="1"/>
    </xf>
    <xf numFmtId="0" fontId="33" fillId="0" borderId="21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33" fillId="0" borderId="58" xfId="0" applyFont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 wrapText="1"/>
    </xf>
    <xf numFmtId="0" fontId="50" fillId="0" borderId="73" xfId="0" applyFont="1" applyBorder="1" applyAlignment="1">
      <alignment horizontal="center" vertical="center" wrapText="1"/>
    </xf>
    <xf numFmtId="49" fontId="19" fillId="0" borderId="25" xfId="0" applyNumberFormat="1" applyFont="1" applyBorder="1" applyAlignment="1">
      <alignment horizontal="center" vertical="center" wrapText="1"/>
    </xf>
    <xf numFmtId="49" fontId="31" fillId="0" borderId="25" xfId="0" applyNumberFormat="1" applyFont="1" applyBorder="1" applyAlignment="1">
      <alignment horizontal="center" vertical="center" wrapText="1"/>
    </xf>
    <xf numFmtId="49" fontId="14" fillId="36" borderId="25" xfId="0" applyNumberFormat="1" applyFont="1" applyFill="1" applyBorder="1" applyAlignment="1">
      <alignment horizontal="center" vertical="center" wrapText="1"/>
    </xf>
    <xf numFmtId="49" fontId="30" fillId="0" borderId="25" xfId="0" applyNumberFormat="1" applyFont="1" applyBorder="1" applyAlignment="1">
      <alignment horizontal="center" vertical="center" wrapText="1"/>
    </xf>
    <xf numFmtId="49" fontId="19" fillId="0" borderId="25" xfId="0" applyNumberFormat="1" applyFont="1" applyBorder="1" applyAlignment="1">
      <alignment horizontal="center" vertical="center" wrapText="1"/>
    </xf>
    <xf numFmtId="49" fontId="13" fillId="36" borderId="25" xfId="0" applyNumberFormat="1" applyFont="1" applyFill="1" applyBorder="1" applyAlignment="1">
      <alignment horizontal="center" vertical="center" wrapText="1"/>
    </xf>
    <xf numFmtId="49" fontId="30" fillId="0" borderId="25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horizontal="center" vertical="center" wrapText="1"/>
    </xf>
    <xf numFmtId="49" fontId="14" fillId="37" borderId="25" xfId="0" applyNumberFormat="1" applyFont="1" applyFill="1" applyBorder="1" applyAlignment="1">
      <alignment horizontal="center" vertical="center" wrapText="1"/>
    </xf>
    <xf numFmtId="49" fontId="33" fillId="0" borderId="25" xfId="0" applyNumberFormat="1" applyFont="1" applyFill="1" applyBorder="1" applyAlignment="1">
      <alignment horizontal="center" vertical="center" wrapText="1"/>
    </xf>
    <xf numFmtId="49" fontId="33" fillId="0" borderId="25" xfId="0" applyNumberFormat="1" applyFont="1" applyBorder="1" applyAlignment="1">
      <alignment horizontal="center" vertical="center" wrapText="1"/>
    </xf>
    <xf numFmtId="49" fontId="33" fillId="0" borderId="45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6" fillId="36" borderId="14" xfId="0" applyFont="1" applyFill="1" applyBorder="1" applyAlignment="1">
      <alignment horizontal="center" vertical="center" wrapText="1"/>
    </xf>
    <xf numFmtId="0" fontId="14" fillId="37" borderId="14" xfId="0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left" vertical="center" wrapText="1"/>
    </xf>
    <xf numFmtId="173" fontId="30" fillId="0" borderId="19" xfId="0" applyNumberFormat="1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173" fontId="1" fillId="0" borderId="16" xfId="0" applyNumberFormat="1" applyFont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173" fontId="2" fillId="0" borderId="27" xfId="0" applyNumberFormat="1" applyFont="1" applyBorder="1" applyAlignment="1">
      <alignment horizontal="center" vertical="center" wrapText="1"/>
    </xf>
    <xf numFmtId="175" fontId="37" fillId="0" borderId="71" xfId="0" applyNumberFormat="1" applyFont="1" applyFill="1" applyBorder="1" applyAlignment="1">
      <alignment horizontal="center" vertical="center" wrapText="1"/>
    </xf>
    <xf numFmtId="175" fontId="1" fillId="0" borderId="27" xfId="0" applyNumberFormat="1" applyFont="1" applyBorder="1" applyAlignment="1">
      <alignment horizontal="center" vertical="center" wrapText="1"/>
    </xf>
    <xf numFmtId="2" fontId="30" fillId="0" borderId="23" xfId="0" applyNumberFormat="1" applyFont="1" applyFill="1" applyBorder="1" applyAlignment="1">
      <alignment horizontal="center" vertical="center" wrapText="1"/>
    </xf>
    <xf numFmtId="2" fontId="37" fillId="0" borderId="71" xfId="0" applyNumberFormat="1" applyFont="1" applyBorder="1" applyAlignment="1">
      <alignment horizontal="center" vertical="center" wrapText="1"/>
    </xf>
    <xf numFmtId="175" fontId="37" fillId="0" borderId="71" xfId="0" applyNumberFormat="1" applyFont="1" applyBorder="1" applyAlignment="1">
      <alignment horizontal="center" vertical="center" wrapText="1"/>
    </xf>
    <xf numFmtId="173" fontId="37" fillId="0" borderId="74" xfId="0" applyNumberFormat="1" applyFont="1" applyBorder="1" applyAlignment="1">
      <alignment horizontal="center" vertical="center" wrapText="1"/>
    </xf>
    <xf numFmtId="173" fontId="37" fillId="0" borderId="71" xfId="0" applyNumberFormat="1" applyFont="1" applyBorder="1" applyAlignment="1">
      <alignment horizontal="center" vertical="center" wrapText="1"/>
    </xf>
    <xf numFmtId="173" fontId="37" fillId="37" borderId="71" xfId="0" applyNumberFormat="1" applyFont="1" applyFill="1" applyBorder="1" applyAlignment="1">
      <alignment horizontal="center" vertical="center" wrapText="1"/>
    </xf>
    <xf numFmtId="2" fontId="37" fillId="0" borderId="75" xfId="0" applyNumberFormat="1" applyFont="1" applyBorder="1" applyAlignment="1">
      <alignment horizontal="center" vertical="center" wrapText="1"/>
    </xf>
    <xf numFmtId="0" fontId="33" fillId="0" borderId="62" xfId="0" applyFont="1" applyBorder="1" applyAlignment="1">
      <alignment horizontal="center" vertical="center" wrapText="1"/>
    </xf>
    <xf numFmtId="0" fontId="33" fillId="0" borderId="63" xfId="0" applyFont="1" applyBorder="1" applyAlignment="1">
      <alignment horizontal="center" vertical="center" wrapText="1"/>
    </xf>
    <xf numFmtId="0" fontId="33" fillId="0" borderId="64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49" fillId="37" borderId="14" xfId="0" applyFont="1" applyFill="1" applyBorder="1" applyAlignment="1">
      <alignment horizontal="center" vertical="center" wrapText="1"/>
    </xf>
    <xf numFmtId="0" fontId="49" fillId="37" borderId="11" xfId="0" applyFont="1" applyFill="1" applyBorder="1" applyAlignment="1">
      <alignment horizontal="center" vertical="center" wrapText="1"/>
    </xf>
    <xf numFmtId="2" fontId="33" fillId="0" borderId="30" xfId="0" applyNumberFormat="1" applyFont="1" applyBorder="1" applyAlignment="1">
      <alignment horizontal="center" vertical="center" wrapText="1"/>
    </xf>
    <xf numFmtId="2" fontId="33" fillId="0" borderId="32" xfId="0" applyNumberFormat="1" applyFont="1" applyBorder="1" applyAlignment="1">
      <alignment horizontal="center" vertical="center" wrapText="1"/>
    </xf>
    <xf numFmtId="173" fontId="33" fillId="0" borderId="49" xfId="0" applyNumberFormat="1" applyFont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 wrapText="1"/>
    </xf>
    <xf numFmtId="0" fontId="36" fillId="0" borderId="76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49" fillId="36" borderId="14" xfId="0" applyFont="1" applyFill="1" applyBorder="1" applyAlignment="1">
      <alignment horizontal="center" vertical="center" wrapText="1"/>
    </xf>
    <xf numFmtId="0" fontId="49" fillId="36" borderId="11" xfId="0" applyFont="1" applyFill="1" applyBorder="1" applyAlignment="1">
      <alignment horizontal="center" vertical="center" wrapText="1"/>
    </xf>
    <xf numFmtId="173" fontId="37" fillId="36" borderId="71" xfId="0" applyNumberFormat="1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175" fontId="37" fillId="36" borderId="71" xfId="0" applyNumberFormat="1" applyFont="1" applyFill="1" applyBorder="1" applyAlignment="1">
      <alignment horizontal="center" vertical="center" wrapText="1"/>
    </xf>
    <xf numFmtId="2" fontId="33" fillId="0" borderId="62" xfId="0" applyNumberFormat="1" applyFont="1" applyBorder="1" applyAlignment="1">
      <alignment horizontal="center" vertical="center" wrapText="1"/>
    </xf>
    <xf numFmtId="0" fontId="14" fillId="34" borderId="48" xfId="0" applyFont="1" applyFill="1" applyBorder="1" applyAlignment="1">
      <alignment horizontal="center" vertical="top" wrapText="1"/>
    </xf>
    <xf numFmtId="0" fontId="15" fillId="34" borderId="61" xfId="0" applyFont="1" applyFill="1" applyBorder="1" applyAlignment="1">
      <alignment horizontal="center" vertical="top" wrapText="1"/>
    </xf>
    <xf numFmtId="0" fontId="14" fillId="34" borderId="65" xfId="0" applyFont="1" applyFill="1" applyBorder="1" applyAlignment="1">
      <alignment/>
    </xf>
    <xf numFmtId="173" fontId="39" fillId="34" borderId="53" xfId="0" applyNumberFormat="1" applyFont="1" applyFill="1" applyBorder="1" applyAlignment="1">
      <alignment horizontal="center" vertical="top" wrapText="1"/>
    </xf>
    <xf numFmtId="49" fontId="33" fillId="0" borderId="11" xfId="0" applyNumberFormat="1" applyFont="1" applyBorder="1" applyAlignment="1">
      <alignment horizontal="center" vertical="center" wrapText="1"/>
    </xf>
    <xf numFmtId="173" fontId="45" fillId="34" borderId="51" xfId="0" applyNumberFormat="1" applyFont="1" applyFill="1" applyBorder="1" applyAlignment="1">
      <alignment horizontal="center" vertical="center" wrapText="1"/>
    </xf>
    <xf numFmtId="173" fontId="45" fillId="37" borderId="52" xfId="0" applyNumberFormat="1" applyFont="1" applyFill="1" applyBorder="1" applyAlignment="1">
      <alignment horizontal="center" vertical="center" wrapText="1"/>
    </xf>
    <xf numFmtId="173" fontId="45" fillId="36" borderId="51" xfId="0" applyNumberFormat="1" applyFont="1" applyFill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40" borderId="32" xfId="0" applyFont="1" applyFill="1" applyBorder="1" applyAlignment="1">
      <alignment vertical="center" wrapText="1"/>
    </xf>
    <xf numFmtId="0" fontId="1" fillId="40" borderId="41" xfId="0" applyFont="1" applyFill="1" applyBorder="1" applyAlignment="1">
      <alignment horizontal="center" vertical="center" wrapText="1"/>
    </xf>
    <xf numFmtId="0" fontId="1" fillId="40" borderId="70" xfId="0" applyFont="1" applyFill="1" applyBorder="1" applyAlignment="1">
      <alignment horizontal="center" vertical="center" wrapText="1"/>
    </xf>
    <xf numFmtId="173" fontId="1" fillId="40" borderId="55" xfId="0" applyNumberFormat="1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173" fontId="1" fillId="35" borderId="22" xfId="0" applyNumberFormat="1" applyFont="1" applyFill="1" applyBorder="1" applyAlignment="1">
      <alignment horizontal="center" vertical="center" wrapText="1"/>
    </xf>
    <xf numFmtId="173" fontId="1" fillId="0" borderId="77" xfId="0" applyNumberFormat="1" applyFont="1" applyBorder="1" applyAlignment="1">
      <alignment horizontal="center" vertical="center" wrapText="1"/>
    </xf>
    <xf numFmtId="0" fontId="1" fillId="40" borderId="32" xfId="0" applyFont="1" applyFill="1" applyBorder="1" applyAlignment="1">
      <alignment vertical="center" wrapText="1"/>
    </xf>
    <xf numFmtId="0" fontId="6" fillId="40" borderId="41" xfId="0" applyFont="1" applyFill="1" applyBorder="1" applyAlignment="1">
      <alignment horizontal="center" vertical="center" wrapText="1"/>
    </xf>
    <xf numFmtId="0" fontId="6" fillId="40" borderId="7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73" fontId="9" fillId="0" borderId="78" xfId="0" applyNumberFormat="1" applyFont="1" applyBorder="1" applyAlignment="1">
      <alignment horizontal="center" vertical="center" wrapText="1"/>
    </xf>
    <xf numFmtId="173" fontId="1" fillId="0" borderId="78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center" vertical="center"/>
    </xf>
    <xf numFmtId="49" fontId="1" fillId="33" borderId="59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173" fontId="1" fillId="0" borderId="22" xfId="0" applyNumberFormat="1" applyFont="1" applyBorder="1" applyAlignment="1">
      <alignment horizontal="center" vertical="center" wrapText="1"/>
    </xf>
    <xf numFmtId="0" fontId="6" fillId="40" borderId="62" xfId="0" applyFont="1" applyFill="1" applyBorder="1" applyAlignment="1">
      <alignment vertical="center" wrapText="1"/>
    </xf>
    <xf numFmtId="0" fontId="1" fillId="40" borderId="63" xfId="0" applyFont="1" applyFill="1" applyBorder="1" applyAlignment="1">
      <alignment horizontal="center" vertical="center" wrapText="1"/>
    </xf>
    <xf numFmtId="173" fontId="1" fillId="40" borderId="33" xfId="0" applyNumberFormat="1" applyFont="1" applyFill="1" applyBorder="1" applyAlignment="1">
      <alignment horizontal="center" vertical="center" wrapText="1"/>
    </xf>
    <xf numFmtId="49" fontId="9" fillId="38" borderId="40" xfId="0" applyNumberFormat="1" applyFont="1" applyFill="1" applyBorder="1" applyAlignment="1">
      <alignment horizontal="center" vertical="center"/>
    </xf>
    <xf numFmtId="175" fontId="0" fillId="0" borderId="69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49" fontId="26" fillId="0" borderId="29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/>
    </xf>
    <xf numFmtId="49" fontId="26" fillId="0" borderId="1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1" fillId="35" borderId="14" xfId="0" applyNumberFormat="1" applyFont="1" applyFill="1" applyBorder="1" applyAlignment="1">
      <alignment horizontal="center" vertical="center" wrapText="1"/>
    </xf>
    <xf numFmtId="49" fontId="9" fillId="35" borderId="29" xfId="0" applyNumberFormat="1" applyFont="1" applyFill="1" applyBorder="1" applyAlignment="1">
      <alignment horizontal="center" vertical="center" wrapText="1"/>
    </xf>
    <xf numFmtId="49" fontId="7" fillId="35" borderId="29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/>
    </xf>
    <xf numFmtId="49" fontId="1" fillId="35" borderId="30" xfId="0" applyNumberFormat="1" applyFont="1" applyFill="1" applyBorder="1" applyAlignment="1">
      <alignment horizontal="center" vertical="center"/>
    </xf>
    <xf numFmtId="49" fontId="10" fillId="0" borderId="30" xfId="0" applyNumberFormat="1" applyFont="1" applyFill="1" applyBorder="1" applyAlignment="1">
      <alignment horizontal="center" vertical="center"/>
    </xf>
    <xf numFmtId="49" fontId="10" fillId="0" borderId="30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/>
    </xf>
    <xf numFmtId="49" fontId="11" fillId="0" borderId="29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 wrapText="1"/>
    </xf>
    <xf numFmtId="0" fontId="6" fillId="40" borderId="32" xfId="0" applyFont="1" applyFill="1" applyBorder="1" applyAlignment="1">
      <alignment horizontal="left" vertical="center" wrapText="1"/>
    </xf>
    <xf numFmtId="173" fontId="1" fillId="40" borderId="25" xfId="0" applyNumberFormat="1" applyFont="1" applyFill="1" applyBorder="1" applyAlignment="1">
      <alignment horizontal="center" vertical="center" wrapText="1"/>
    </xf>
    <xf numFmtId="173" fontId="1" fillId="35" borderId="13" xfId="0" applyNumberFormat="1" applyFont="1" applyFill="1" applyBorder="1" applyAlignment="1">
      <alignment horizontal="center" vertical="center" wrapText="1"/>
    </xf>
    <xf numFmtId="175" fontId="10" fillId="0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49" fontId="6" fillId="42" borderId="10" xfId="0" applyNumberFormat="1" applyFont="1" applyFill="1" applyBorder="1" applyAlignment="1">
      <alignment horizontal="center" vertical="center"/>
    </xf>
    <xf numFmtId="0" fontId="1" fillId="42" borderId="32" xfId="0" applyFont="1" applyFill="1" applyBorder="1" applyAlignment="1">
      <alignment horizontal="center" vertical="center" wrapText="1"/>
    </xf>
    <xf numFmtId="0" fontId="1" fillId="42" borderId="41" xfId="0" applyFont="1" applyFill="1" applyBorder="1" applyAlignment="1">
      <alignment horizontal="center" vertical="center" wrapText="1"/>
    </xf>
    <xf numFmtId="49" fontId="6" fillId="43" borderId="55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0" fillId="0" borderId="78" xfId="0" applyNumberFormat="1" applyFont="1" applyFill="1" applyBorder="1" applyAlignment="1">
      <alignment horizontal="center" vertical="center" wrapText="1"/>
    </xf>
    <xf numFmtId="49" fontId="7" fillId="0" borderId="78" xfId="0" applyNumberFormat="1" applyFont="1" applyFill="1" applyBorder="1" applyAlignment="1">
      <alignment horizontal="center" vertical="center" wrapText="1"/>
    </xf>
    <xf numFmtId="49" fontId="26" fillId="0" borderId="78" xfId="0" applyNumberFormat="1" applyFont="1" applyFill="1" applyBorder="1" applyAlignment="1">
      <alignment horizontal="center" vertical="center" wrapText="1"/>
    </xf>
    <xf numFmtId="49" fontId="8" fillId="0" borderId="78" xfId="0" applyNumberFormat="1" applyFont="1" applyFill="1" applyBorder="1" applyAlignment="1">
      <alignment horizontal="center" vertical="center" wrapText="1"/>
    </xf>
    <xf numFmtId="49" fontId="9" fillId="0" borderId="78" xfId="0" applyNumberFormat="1" applyFont="1" applyFill="1" applyBorder="1" applyAlignment="1">
      <alignment horizontal="center" vertical="center" wrapText="1"/>
    </xf>
    <xf numFmtId="49" fontId="6" fillId="0" borderId="78" xfId="0" applyNumberFormat="1" applyFont="1" applyFill="1" applyBorder="1" applyAlignment="1">
      <alignment horizontal="center" vertical="center" wrapText="1"/>
    </xf>
    <xf numFmtId="49" fontId="10" fillId="0" borderId="78" xfId="0" applyNumberFormat="1" applyFont="1" applyFill="1" applyBorder="1" applyAlignment="1">
      <alignment horizontal="center" vertical="center" wrapText="1"/>
    </xf>
    <xf numFmtId="49" fontId="2" fillId="0" borderId="78" xfId="0" applyNumberFormat="1" applyFont="1" applyFill="1" applyBorder="1" applyAlignment="1">
      <alignment horizontal="center" vertical="center" wrapText="1"/>
    </xf>
    <xf numFmtId="49" fontId="9" fillId="0" borderId="78" xfId="0" applyNumberFormat="1" applyFont="1" applyFill="1" applyBorder="1" applyAlignment="1">
      <alignment horizontal="center" vertical="center" wrapText="1"/>
    </xf>
    <xf numFmtId="49" fontId="8" fillId="0" borderId="78" xfId="0" applyNumberFormat="1" applyFont="1" applyFill="1" applyBorder="1" applyAlignment="1">
      <alignment horizontal="center" vertical="center" wrapText="1"/>
    </xf>
    <xf numFmtId="49" fontId="7" fillId="0" borderId="78" xfId="0" applyNumberFormat="1" applyFont="1" applyFill="1" applyBorder="1" applyAlignment="1">
      <alignment horizontal="center" vertical="center" wrapText="1"/>
    </xf>
    <xf numFmtId="49" fontId="10" fillId="0" borderId="78" xfId="0" applyNumberFormat="1" applyFont="1" applyFill="1" applyBorder="1" applyAlignment="1">
      <alignment horizontal="center" vertical="center"/>
    </xf>
    <xf numFmtId="49" fontId="2" fillId="0" borderId="78" xfId="0" applyNumberFormat="1" applyFont="1" applyFill="1" applyBorder="1" applyAlignment="1">
      <alignment horizontal="center" vertical="center" wrapText="1"/>
    </xf>
    <xf numFmtId="49" fontId="4" fillId="0" borderId="78" xfId="0" applyNumberFormat="1" applyFont="1" applyFill="1" applyBorder="1" applyAlignment="1">
      <alignment horizontal="center" vertical="center" wrapText="1"/>
    </xf>
    <xf numFmtId="49" fontId="1" fillId="0" borderId="78" xfId="0" applyNumberFormat="1" applyFont="1" applyFill="1" applyBorder="1" applyAlignment="1">
      <alignment horizontal="center" vertical="center"/>
    </xf>
    <xf numFmtId="49" fontId="9" fillId="0" borderId="54" xfId="0" applyNumberFormat="1" applyFont="1" applyFill="1" applyBorder="1" applyAlignment="1">
      <alignment horizontal="center" vertical="center"/>
    </xf>
    <xf numFmtId="49" fontId="36" fillId="0" borderId="78" xfId="0" applyNumberFormat="1" applyFont="1" applyFill="1" applyBorder="1" applyAlignment="1">
      <alignment horizontal="center" vertical="center"/>
    </xf>
    <xf numFmtId="175" fontId="7" fillId="0" borderId="34" xfId="0" applyNumberFormat="1" applyFont="1" applyFill="1" applyBorder="1" applyAlignment="1">
      <alignment horizontal="center" vertical="center"/>
    </xf>
    <xf numFmtId="0" fontId="1" fillId="40" borderId="66" xfId="0" applyFont="1" applyFill="1" applyBorder="1" applyAlignment="1">
      <alignment horizontal="center" vertical="center" wrapText="1"/>
    </xf>
    <xf numFmtId="0" fontId="36" fillId="0" borderId="35" xfId="0" applyFont="1" applyBorder="1" applyAlignment="1">
      <alignment vertical="center" wrapText="1"/>
    </xf>
    <xf numFmtId="0" fontId="36" fillId="0" borderId="58" xfId="0" applyFont="1" applyBorder="1" applyAlignment="1">
      <alignment horizontal="center" vertical="center" wrapText="1"/>
    </xf>
    <xf numFmtId="0" fontId="36" fillId="0" borderId="73" xfId="0" applyFont="1" applyBorder="1" applyAlignment="1">
      <alignment horizontal="center" vertical="center" wrapText="1"/>
    </xf>
    <xf numFmtId="173" fontId="1" fillId="0" borderId="23" xfId="0" applyNumberFormat="1" applyFont="1" applyBorder="1" applyAlignment="1">
      <alignment/>
    </xf>
    <xf numFmtId="0" fontId="4" fillId="0" borderId="19" xfId="0" applyFont="1" applyBorder="1" applyAlignment="1">
      <alignment/>
    </xf>
    <xf numFmtId="49" fontId="10" fillId="0" borderId="17" xfId="0" applyNumberFormat="1" applyFont="1" applyFill="1" applyBorder="1" applyAlignment="1">
      <alignment horizontal="center" vertical="center"/>
    </xf>
    <xf numFmtId="49" fontId="9" fillId="35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49" fontId="1" fillId="35" borderId="17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26" fillId="0" borderId="17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7" fillId="0" borderId="51" xfId="0" applyNumberFormat="1" applyFont="1" applyFill="1" applyBorder="1" applyAlignment="1">
      <alignment horizontal="center" vertical="center"/>
    </xf>
    <xf numFmtId="49" fontId="7" fillId="0" borderId="62" xfId="0" applyNumberFormat="1" applyFont="1" applyBorder="1" applyAlignment="1">
      <alignment horizontal="center" vertical="center"/>
    </xf>
    <xf numFmtId="49" fontId="7" fillId="0" borderId="63" xfId="0" applyNumberFormat="1" applyFont="1" applyBorder="1" applyAlignment="1">
      <alignment horizontal="center" vertical="center"/>
    </xf>
    <xf numFmtId="49" fontId="7" fillId="0" borderId="64" xfId="0" applyNumberFormat="1" applyFont="1" applyBorder="1" applyAlignment="1">
      <alignment horizontal="center" vertical="center"/>
    </xf>
    <xf numFmtId="49" fontId="4" fillId="39" borderId="14" xfId="0" applyNumberFormat="1" applyFont="1" applyFill="1" applyBorder="1" applyAlignment="1">
      <alignment horizontal="center" vertical="center" wrapText="1"/>
    </xf>
    <xf numFmtId="49" fontId="11" fillId="39" borderId="29" xfId="0" applyNumberFormat="1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49" fontId="6" fillId="33" borderId="29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49" fontId="28" fillId="0" borderId="29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75" fontId="1" fillId="0" borderId="27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49" fontId="10" fillId="35" borderId="14" xfId="0" applyNumberFormat="1" applyFont="1" applyFill="1" applyBorder="1" applyAlignment="1">
      <alignment horizontal="center" vertical="center" wrapText="1"/>
    </xf>
    <xf numFmtId="49" fontId="10" fillId="35" borderId="11" xfId="0" applyNumberFormat="1" applyFont="1" applyFill="1" applyBorder="1" applyAlignment="1">
      <alignment horizontal="center" vertical="center" wrapText="1"/>
    </xf>
    <xf numFmtId="49" fontId="10" fillId="35" borderId="29" xfId="0" applyNumberFormat="1" applyFont="1" applyFill="1" applyBorder="1" applyAlignment="1">
      <alignment horizontal="center" vertical="center" wrapText="1"/>
    </xf>
    <xf numFmtId="49" fontId="10" fillId="35" borderId="17" xfId="0" applyNumberFormat="1" applyFont="1" applyFill="1" applyBorder="1" applyAlignment="1">
      <alignment horizontal="center" vertical="center" wrapText="1"/>
    </xf>
    <xf numFmtId="175" fontId="10" fillId="35" borderId="10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49" fontId="7" fillId="0" borderId="79" xfId="0" applyNumberFormat="1" applyFont="1" applyBorder="1" applyAlignment="1">
      <alignment horizontal="center" vertical="center"/>
    </xf>
    <xf numFmtId="49" fontId="4" fillId="39" borderId="78" xfId="0" applyNumberFormat="1" applyFont="1" applyFill="1" applyBorder="1" applyAlignment="1">
      <alignment wrapText="1" readingOrder="1"/>
    </xf>
    <xf numFmtId="49" fontId="1" fillId="33" borderId="78" xfId="0" applyNumberFormat="1" applyFont="1" applyFill="1" applyBorder="1" applyAlignment="1">
      <alignment wrapText="1" readingOrder="1"/>
    </xf>
    <xf numFmtId="49" fontId="2" fillId="0" borderId="78" xfId="0" applyNumberFormat="1" applyFont="1" applyFill="1" applyBorder="1" applyAlignment="1">
      <alignment wrapText="1" readingOrder="1"/>
    </xf>
    <xf numFmtId="49" fontId="7" fillId="0" borderId="78" xfId="0" applyNumberFormat="1" applyFont="1" applyFill="1" applyBorder="1" applyAlignment="1">
      <alignment wrapText="1" readingOrder="1"/>
    </xf>
    <xf numFmtId="49" fontId="8" fillId="0" borderId="78" xfId="0" applyNumberFormat="1" applyFont="1" applyFill="1" applyBorder="1" applyAlignment="1">
      <alignment wrapText="1" readingOrder="1"/>
    </xf>
    <xf numFmtId="49" fontId="9" fillId="0" borderId="78" xfId="0" applyNumberFormat="1" applyFont="1" applyFill="1" applyBorder="1" applyAlignment="1">
      <alignment wrapText="1" readingOrder="1"/>
    </xf>
    <xf numFmtId="49" fontId="1" fillId="0" borderId="78" xfId="0" applyNumberFormat="1" applyFont="1" applyFill="1" applyBorder="1" applyAlignment="1">
      <alignment wrapText="1" readingOrder="1"/>
    </xf>
    <xf numFmtId="49" fontId="6" fillId="33" borderId="78" xfId="0" applyNumberFormat="1" applyFont="1" applyFill="1" applyBorder="1" applyAlignment="1">
      <alignment wrapText="1" readingOrder="1"/>
    </xf>
    <xf numFmtId="0" fontId="2" fillId="0" borderId="78" xfId="0" applyFont="1" applyFill="1" applyBorder="1" applyAlignment="1">
      <alignment wrapText="1"/>
    </xf>
    <xf numFmtId="49" fontId="10" fillId="0" borderId="78" xfId="0" applyNumberFormat="1" applyFont="1" applyFill="1" applyBorder="1" applyAlignment="1">
      <alignment wrapText="1" readingOrder="1"/>
    </xf>
    <xf numFmtId="49" fontId="8" fillId="0" borderId="78" xfId="0" applyNumberFormat="1" applyFont="1" applyFill="1" applyBorder="1" applyAlignment="1">
      <alignment wrapText="1" readingOrder="1"/>
    </xf>
    <xf numFmtId="49" fontId="9" fillId="0" borderId="78" xfId="0" applyNumberFormat="1" applyFont="1" applyFill="1" applyBorder="1" applyAlignment="1">
      <alignment wrapText="1" readingOrder="1"/>
    </xf>
    <xf numFmtId="0" fontId="2" fillId="0" borderId="78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2" fillId="0" borderId="78" xfId="0" applyFont="1" applyFill="1" applyBorder="1" applyAlignment="1">
      <alignment horizontal="left" vertical="center" wrapText="1"/>
    </xf>
    <xf numFmtId="49" fontId="4" fillId="0" borderId="78" xfId="0" applyNumberFormat="1" applyFont="1" applyFill="1" applyBorder="1" applyAlignment="1">
      <alignment wrapText="1" readingOrder="1"/>
    </xf>
    <xf numFmtId="49" fontId="1" fillId="0" borderId="78" xfId="0" applyNumberFormat="1" applyFont="1" applyFill="1" applyBorder="1" applyAlignment="1">
      <alignment wrapText="1" readingOrder="1"/>
    </xf>
    <xf numFmtId="0" fontId="2" fillId="0" borderId="17" xfId="0" applyFont="1" applyBorder="1" applyAlignment="1">
      <alignment vertical="center" wrapText="1"/>
    </xf>
    <xf numFmtId="49" fontId="2" fillId="35" borderId="78" xfId="0" applyNumberFormat="1" applyFont="1" applyFill="1" applyBorder="1" applyAlignment="1">
      <alignment horizontal="left" vertical="center" wrapText="1" readingOrder="1"/>
    </xf>
    <xf numFmtId="49" fontId="2" fillId="0" borderId="78" xfId="0" applyNumberFormat="1" applyFont="1" applyFill="1" applyBorder="1" applyAlignment="1">
      <alignment horizontal="left" wrapText="1" readingOrder="1"/>
    </xf>
    <xf numFmtId="49" fontId="2" fillId="35" borderId="78" xfId="0" applyNumberFormat="1" applyFont="1" applyFill="1" applyBorder="1" applyAlignment="1">
      <alignment horizontal="left" wrapText="1" readingOrder="1"/>
    </xf>
    <xf numFmtId="49" fontId="2" fillId="0" borderId="78" xfId="0" applyNumberFormat="1" applyFont="1" applyFill="1" applyBorder="1" applyAlignment="1">
      <alignment horizontal="left" vertical="center" wrapText="1" readingOrder="1"/>
    </xf>
    <xf numFmtId="49" fontId="9" fillId="0" borderId="78" xfId="0" applyNumberFormat="1" applyFont="1" applyFill="1" applyBorder="1" applyAlignment="1">
      <alignment horizontal="left" wrapText="1" readingOrder="1"/>
    </xf>
    <xf numFmtId="49" fontId="4" fillId="0" borderId="78" xfId="0" applyNumberFormat="1" applyFont="1" applyFill="1" applyBorder="1" applyAlignment="1">
      <alignment horizontal="left" wrapText="1" readingOrder="1"/>
    </xf>
    <xf numFmtId="175" fontId="7" fillId="0" borderId="59" xfId="0" applyNumberFormat="1" applyFont="1" applyFill="1" applyBorder="1" applyAlignment="1">
      <alignment horizontal="center" vertical="center"/>
    </xf>
    <xf numFmtId="0" fontId="1" fillId="43" borderId="19" xfId="0" applyFont="1" applyFill="1" applyBorder="1" applyAlignment="1">
      <alignment vertical="center" wrapText="1"/>
    </xf>
    <xf numFmtId="0" fontId="6" fillId="43" borderId="23" xfId="0" applyFont="1" applyFill="1" applyBorder="1" applyAlignment="1">
      <alignment horizontal="center" vertical="center" wrapText="1"/>
    </xf>
    <xf numFmtId="0" fontId="9" fillId="43" borderId="80" xfId="0" applyFont="1" applyFill="1" applyBorder="1" applyAlignment="1">
      <alignment horizontal="center" vertical="center" wrapText="1"/>
    </xf>
    <xf numFmtId="0" fontId="9" fillId="43" borderId="81" xfId="0" applyFont="1" applyFill="1" applyBorder="1" applyAlignment="1">
      <alignment horizontal="center" vertical="center" wrapText="1"/>
    </xf>
    <xf numFmtId="0" fontId="1" fillId="41" borderId="19" xfId="0" applyFont="1" applyFill="1" applyBorder="1" applyAlignment="1">
      <alignment vertical="center" wrapText="1"/>
    </xf>
    <xf numFmtId="0" fontId="6" fillId="41" borderId="23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9" fillId="41" borderId="23" xfId="0" applyFont="1" applyFill="1" applyBorder="1" applyAlignment="1">
      <alignment horizontal="center" vertical="center"/>
    </xf>
    <xf numFmtId="0" fontId="7" fillId="41" borderId="23" xfId="0" applyFont="1" applyFill="1" applyBorder="1" applyAlignment="1">
      <alignment horizontal="center" vertical="center"/>
    </xf>
    <xf numFmtId="49" fontId="7" fillId="41" borderId="18" xfId="0" applyNumberFormat="1" applyFont="1" applyFill="1" applyBorder="1" applyAlignment="1">
      <alignment horizontal="center" vertical="center"/>
    </xf>
    <xf numFmtId="49" fontId="7" fillId="33" borderId="70" xfId="0" applyNumberFormat="1" applyFont="1" applyFill="1" applyBorder="1" applyAlignment="1">
      <alignment horizontal="center" vertical="center"/>
    </xf>
    <xf numFmtId="175" fontId="1" fillId="41" borderId="22" xfId="0" applyNumberFormat="1" applyFont="1" applyFill="1" applyBorder="1" applyAlignment="1">
      <alignment horizontal="center" vertical="center"/>
    </xf>
    <xf numFmtId="175" fontId="2" fillId="33" borderId="55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40" borderId="14" xfId="0" applyFont="1" applyFill="1" applyBorder="1" applyAlignment="1">
      <alignment vertical="center" wrapText="1"/>
    </xf>
    <xf numFmtId="0" fontId="1" fillId="40" borderId="11" xfId="0" applyFont="1" applyFill="1" applyBorder="1" applyAlignment="1">
      <alignment horizontal="center" vertical="center" wrapText="1"/>
    </xf>
    <xf numFmtId="0" fontId="1" fillId="40" borderId="2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175" fontId="1" fillId="33" borderId="10" xfId="0" applyNumberFormat="1" applyFont="1" applyFill="1" applyBorder="1" applyAlignment="1">
      <alignment horizontal="center" vertical="center"/>
    </xf>
    <xf numFmtId="173" fontId="43" fillId="0" borderId="11" xfId="0" applyNumberFormat="1" applyFont="1" applyFill="1" applyBorder="1" applyAlignment="1">
      <alignment horizontal="center" vertical="center" wrapText="1"/>
    </xf>
    <xf numFmtId="173" fontId="43" fillId="0" borderId="29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73" fontId="36" fillId="0" borderId="59" xfId="0" applyNumberFormat="1" applyFont="1" applyBorder="1" applyAlignment="1">
      <alignment horizontal="center" vertical="center" wrapText="1"/>
    </xf>
    <xf numFmtId="0" fontId="2" fillId="42" borderId="14" xfId="0" applyFont="1" applyFill="1" applyBorder="1" applyAlignment="1">
      <alignment vertical="center" wrapText="1"/>
    </xf>
    <xf numFmtId="0" fontId="10" fillId="42" borderId="11" xfId="0" applyFont="1" applyFill="1" applyBorder="1" applyAlignment="1">
      <alignment horizontal="center" vertical="center" wrapText="1"/>
    </xf>
    <xf numFmtId="49" fontId="10" fillId="42" borderId="17" xfId="0" applyNumberFormat="1" applyFont="1" applyFill="1" applyBorder="1" applyAlignment="1">
      <alignment horizontal="center" vertical="center" wrapText="1"/>
    </xf>
    <xf numFmtId="175" fontId="10" fillId="42" borderId="10" xfId="0" applyNumberFormat="1" applyFont="1" applyFill="1" applyBorder="1" applyAlignment="1">
      <alignment horizontal="center" vertical="center"/>
    </xf>
    <xf numFmtId="0" fontId="36" fillId="0" borderId="25" xfId="0" applyFont="1" applyBorder="1" applyAlignment="1">
      <alignment horizontal="center" vertical="center" wrapText="1"/>
    </xf>
    <xf numFmtId="173" fontId="36" fillId="0" borderId="25" xfId="0" applyNumberFormat="1" applyFont="1" applyBorder="1" applyAlignment="1">
      <alignment horizontal="center" vertical="center" wrapText="1"/>
    </xf>
    <xf numFmtId="173" fontId="1" fillId="0" borderId="25" xfId="0" applyNumberFormat="1" applyFont="1" applyBorder="1" applyAlignment="1">
      <alignment horizontal="center" vertical="center" wrapText="1"/>
    </xf>
    <xf numFmtId="173" fontId="10" fillId="0" borderId="25" xfId="0" applyNumberFormat="1" applyFont="1" applyBorder="1" applyAlignment="1">
      <alignment horizontal="center" vertical="center" wrapText="1"/>
    </xf>
    <xf numFmtId="173" fontId="0" fillId="0" borderId="25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173" fontId="9" fillId="0" borderId="54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1" xfId="0" applyBorder="1" applyAlignment="1">
      <alignment wrapText="1"/>
    </xf>
    <xf numFmtId="0" fontId="27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2" fontId="27" fillId="0" borderId="11" xfId="0" applyNumberFormat="1" applyFont="1" applyBorder="1" applyAlignment="1">
      <alignment wrapText="1"/>
    </xf>
    <xf numFmtId="2" fontId="0" fillId="0" borderId="11" xfId="0" applyNumberFormat="1" applyBorder="1" applyAlignment="1">
      <alignment wrapText="1"/>
    </xf>
    <xf numFmtId="0" fontId="0" fillId="0" borderId="0" xfId="0" applyNumberFormat="1" applyAlignment="1" applyProtection="1">
      <alignment/>
      <protection locked="0"/>
    </xf>
    <xf numFmtId="0" fontId="4" fillId="0" borderId="19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5" fontId="1" fillId="42" borderId="55" xfId="0" applyNumberFormat="1" applyFont="1" applyFill="1" applyBorder="1" applyAlignment="1">
      <alignment horizontal="center" vertical="center"/>
    </xf>
    <xf numFmtId="49" fontId="6" fillId="43" borderId="22" xfId="0" applyNumberFormat="1" applyFont="1" applyFill="1" applyBorder="1" applyAlignment="1">
      <alignment horizontal="center" vertical="center" wrapText="1"/>
    </xf>
    <xf numFmtId="49" fontId="6" fillId="43" borderId="19" xfId="0" applyNumberFormat="1" applyFont="1" applyFill="1" applyBorder="1" applyAlignment="1">
      <alignment horizontal="center" vertical="center" wrapText="1"/>
    </xf>
    <xf numFmtId="49" fontId="6" fillId="43" borderId="23" xfId="0" applyNumberFormat="1" applyFont="1" applyFill="1" applyBorder="1" applyAlignment="1">
      <alignment horizontal="center" vertical="center" wrapText="1"/>
    </xf>
    <xf numFmtId="49" fontId="6" fillId="43" borderId="27" xfId="0" applyNumberFormat="1" applyFont="1" applyFill="1" applyBorder="1" applyAlignment="1">
      <alignment horizontal="center" vertical="center" wrapText="1"/>
    </xf>
    <xf numFmtId="175" fontId="6" fillId="43" borderId="22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173" fontId="36" fillId="0" borderId="0" xfId="0" applyNumberFormat="1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0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173" fontId="1" fillId="0" borderId="51" xfId="0" applyNumberFormat="1" applyFont="1" applyBorder="1" applyAlignment="1">
      <alignment/>
    </xf>
    <xf numFmtId="0" fontId="32" fillId="0" borderId="0" xfId="0" applyFont="1" applyAlignment="1">
      <alignment horizontal="justify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173" fontId="32" fillId="0" borderId="11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41" xfId="0" applyFont="1" applyBorder="1" applyAlignment="1">
      <alignment vertical="top" wrapText="1"/>
    </xf>
    <xf numFmtId="173" fontId="32" fillId="0" borderId="41" xfId="0" applyNumberFormat="1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2" fillId="0" borderId="23" xfId="0" applyFont="1" applyBorder="1" applyAlignment="1">
      <alignment horizontal="center" vertical="top" wrapText="1"/>
    </xf>
    <xf numFmtId="0" fontId="32" fillId="0" borderId="27" xfId="0" applyFont="1" applyBorder="1" applyAlignment="1">
      <alignment horizontal="center" vertical="top" wrapText="1"/>
    </xf>
    <xf numFmtId="0" fontId="32" fillId="0" borderId="32" xfId="0" applyNumberFormat="1" applyFont="1" applyBorder="1" applyAlignment="1" applyProtection="1">
      <alignment horizontal="center" vertical="top" wrapText="1"/>
      <protection locked="0"/>
    </xf>
    <xf numFmtId="0" fontId="32" fillId="0" borderId="30" xfId="0" applyFont="1" applyBorder="1" applyAlignment="1">
      <alignment horizontal="center" vertical="top" wrapText="1"/>
    </xf>
    <xf numFmtId="0" fontId="32" fillId="0" borderId="14" xfId="0" applyNumberFormat="1" applyFont="1" applyBorder="1" applyAlignment="1" applyProtection="1">
      <alignment horizontal="center" vertical="top" wrapText="1"/>
      <protection locked="0"/>
    </xf>
    <xf numFmtId="0" fontId="32" fillId="0" borderId="29" xfId="0" applyFont="1" applyBorder="1" applyAlignment="1">
      <alignment horizontal="center" vertical="top" wrapText="1"/>
    </xf>
    <xf numFmtId="0" fontId="32" fillId="0" borderId="35" xfId="0" applyNumberFormat="1" applyFont="1" applyBorder="1" applyAlignment="1" applyProtection="1">
      <alignment horizontal="center" vertical="top" wrapText="1"/>
      <protection locked="0"/>
    </xf>
    <xf numFmtId="0" fontId="18" fillId="0" borderId="58" xfId="0" applyFont="1" applyBorder="1" applyAlignment="1">
      <alignment horizontal="left" vertical="top" wrapText="1"/>
    </xf>
    <xf numFmtId="0" fontId="32" fillId="0" borderId="58" xfId="0" applyFont="1" applyBorder="1" applyAlignment="1">
      <alignment horizontal="center" vertical="top" wrapText="1"/>
    </xf>
    <xf numFmtId="0" fontId="32" fillId="0" borderId="36" xfId="0" applyFont="1" applyBorder="1" applyAlignment="1">
      <alignment horizontal="center" vertical="top" wrapText="1"/>
    </xf>
    <xf numFmtId="0" fontId="21" fillId="0" borderId="20" xfId="0" applyNumberFormat="1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 wrapText="1"/>
    </xf>
    <xf numFmtId="49" fontId="35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173" fontId="0" fillId="0" borderId="0" xfId="0" applyNumberFormat="1" applyAlignment="1">
      <alignment/>
    </xf>
    <xf numFmtId="173" fontId="36" fillId="0" borderId="0" xfId="0" applyNumberFormat="1" applyFont="1" applyFill="1" applyBorder="1" applyAlignment="1">
      <alignment horizontal="center" vertical="center"/>
    </xf>
    <xf numFmtId="49" fontId="6" fillId="44" borderId="10" xfId="0" applyNumberFormat="1" applyFont="1" applyFill="1" applyBorder="1" applyAlignment="1">
      <alignment horizontal="center" vertical="center" wrapText="1"/>
    </xf>
    <xf numFmtId="0" fontId="6" fillId="44" borderId="32" xfId="0" applyFont="1" applyFill="1" applyBorder="1" applyAlignment="1">
      <alignment horizontal="left" vertical="center" wrapText="1"/>
    </xf>
    <xf numFmtId="0" fontId="1" fillId="44" borderId="41" xfId="0" applyFont="1" applyFill="1" applyBorder="1" applyAlignment="1">
      <alignment horizontal="center" vertical="center" wrapText="1"/>
    </xf>
    <xf numFmtId="49" fontId="7" fillId="44" borderId="11" xfId="0" applyNumberFormat="1" applyFont="1" applyFill="1" applyBorder="1" applyAlignment="1">
      <alignment horizontal="center" vertical="center" wrapText="1"/>
    </xf>
    <xf numFmtId="49" fontId="7" fillId="44" borderId="29" xfId="0" applyNumberFormat="1" applyFont="1" applyFill="1" applyBorder="1" applyAlignment="1">
      <alignment horizontal="center" vertical="center" wrapText="1"/>
    </xf>
    <xf numFmtId="49" fontId="7" fillId="44" borderId="17" xfId="0" applyNumberFormat="1" applyFont="1" applyFill="1" applyBorder="1" applyAlignment="1">
      <alignment horizontal="center" vertical="center" wrapText="1"/>
    </xf>
    <xf numFmtId="175" fontId="1" fillId="44" borderId="10" xfId="0" applyNumberFormat="1" applyFont="1" applyFill="1" applyBorder="1" applyAlignment="1">
      <alignment horizontal="center" vertical="center"/>
    </xf>
    <xf numFmtId="49" fontId="9" fillId="0" borderId="59" xfId="0" applyNumberFormat="1" applyFont="1" applyFill="1" applyBorder="1" applyAlignment="1">
      <alignment horizontal="center" vertical="center" wrapText="1"/>
    </xf>
    <xf numFmtId="0" fontId="7" fillId="0" borderId="69" xfId="0" applyFont="1" applyBorder="1" applyAlignment="1">
      <alignment vertical="center" wrapText="1"/>
    </xf>
    <xf numFmtId="49" fontId="7" fillId="0" borderId="69" xfId="0" applyNumberFormat="1" applyFont="1" applyFill="1" applyBorder="1" applyAlignment="1">
      <alignment horizontal="center" vertical="center" wrapText="1"/>
    </xf>
    <xf numFmtId="49" fontId="6" fillId="33" borderId="31" xfId="0" applyNumberFormat="1" applyFont="1" applyFill="1" applyBorder="1" applyAlignment="1">
      <alignment horizontal="left" vertical="center" wrapText="1" readingOrder="1"/>
    </xf>
    <xf numFmtId="49" fontId="1" fillId="33" borderId="32" xfId="0" applyNumberFormat="1" applyFont="1" applyFill="1" applyBorder="1" applyAlignment="1">
      <alignment horizontal="center" vertical="center" wrapText="1"/>
    </xf>
    <xf numFmtId="49" fontId="1" fillId="33" borderId="41" xfId="0" applyNumberFormat="1" applyFont="1" applyFill="1" applyBorder="1" applyAlignment="1">
      <alignment horizontal="center" vertical="center" wrapText="1"/>
    </xf>
    <xf numFmtId="49" fontId="1" fillId="33" borderId="30" xfId="0" applyNumberFormat="1" applyFont="1" applyFill="1" applyBorder="1" applyAlignment="1">
      <alignment horizontal="center" vertical="center" wrapText="1"/>
    </xf>
    <xf numFmtId="175" fontId="1" fillId="33" borderId="55" xfId="0" applyNumberFormat="1" applyFont="1" applyFill="1" applyBorder="1" applyAlignment="1">
      <alignment horizontal="center" vertical="center"/>
    </xf>
    <xf numFmtId="49" fontId="6" fillId="43" borderId="16" xfId="0" applyNumberFormat="1" applyFont="1" applyFill="1" applyBorder="1" applyAlignment="1">
      <alignment horizontal="left" vertical="center" wrapText="1" readingOrder="1"/>
    </xf>
    <xf numFmtId="0" fontId="9" fillId="0" borderId="35" xfId="0" applyFont="1" applyBorder="1" applyAlignment="1">
      <alignment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49" fontId="9" fillId="0" borderId="77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75" fontId="7" fillId="0" borderId="53" xfId="0" applyNumberFormat="1" applyFont="1" applyFill="1" applyBorder="1" applyAlignment="1">
      <alignment horizontal="center" vertical="center"/>
    </xf>
    <xf numFmtId="175" fontId="10" fillId="0" borderId="53" xfId="0" applyNumberFormat="1" applyFont="1" applyFill="1" applyBorder="1" applyAlignment="1">
      <alignment horizontal="center" vertical="center"/>
    </xf>
    <xf numFmtId="49" fontId="9" fillId="0" borderId="59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" fillId="45" borderId="14" xfId="0" applyNumberFormat="1" applyFont="1" applyFill="1" applyBorder="1" applyAlignment="1">
      <alignment horizontal="center" vertical="center" wrapText="1"/>
    </xf>
    <xf numFmtId="175" fontId="1" fillId="45" borderId="10" xfId="0" applyNumberFormat="1" applyFont="1" applyFill="1" applyBorder="1" applyAlignment="1">
      <alignment horizontal="center" vertical="center"/>
    </xf>
    <xf numFmtId="49" fontId="1" fillId="45" borderId="32" xfId="0" applyNumberFormat="1" applyFont="1" applyFill="1" applyBorder="1" applyAlignment="1">
      <alignment horizontal="center" vertical="center" wrapText="1"/>
    </xf>
    <xf numFmtId="175" fontId="1" fillId="45" borderId="55" xfId="0" applyNumberFormat="1" applyFont="1" applyFill="1" applyBorder="1" applyAlignment="1">
      <alignment horizontal="center" vertical="center"/>
    </xf>
    <xf numFmtId="0" fontId="10" fillId="45" borderId="11" xfId="0" applyFont="1" applyFill="1" applyBorder="1" applyAlignment="1">
      <alignment horizontal="center" vertical="center"/>
    </xf>
    <xf numFmtId="0" fontId="10" fillId="45" borderId="29" xfId="0" applyFont="1" applyFill="1" applyBorder="1" applyAlignment="1">
      <alignment horizontal="center" vertical="center"/>
    </xf>
    <xf numFmtId="49" fontId="10" fillId="45" borderId="78" xfId="0" applyNumberFormat="1" applyFont="1" applyFill="1" applyBorder="1" applyAlignment="1">
      <alignment horizontal="center" vertical="center"/>
    </xf>
    <xf numFmtId="49" fontId="6" fillId="45" borderId="10" xfId="0" applyNumberFormat="1" applyFont="1" applyFill="1" applyBorder="1" applyAlignment="1">
      <alignment horizontal="center" vertical="center"/>
    </xf>
    <xf numFmtId="49" fontId="7" fillId="45" borderId="41" xfId="0" applyNumberFormat="1" applyFont="1" applyFill="1" applyBorder="1" applyAlignment="1">
      <alignment horizontal="center" vertical="center" wrapText="1"/>
    </xf>
    <xf numFmtId="49" fontId="1" fillId="45" borderId="11" xfId="0" applyNumberFormat="1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horizontal="center" vertical="center" wrapText="1"/>
    </xf>
    <xf numFmtId="49" fontId="1" fillId="45" borderId="4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center" vertical="center"/>
    </xf>
    <xf numFmtId="49" fontId="6" fillId="45" borderId="55" xfId="0" applyNumberFormat="1" applyFont="1" applyFill="1" applyBorder="1" applyAlignment="1">
      <alignment horizontal="center" vertical="center"/>
    </xf>
    <xf numFmtId="49" fontId="36" fillId="45" borderId="30" xfId="0" applyNumberFormat="1" applyFont="1" applyFill="1" applyBorder="1" applyAlignment="1">
      <alignment horizontal="center" vertical="center" wrapText="1"/>
    </xf>
    <xf numFmtId="49" fontId="0" fillId="45" borderId="31" xfId="0" applyNumberFormat="1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horizontal="center" vertical="center"/>
    </xf>
    <xf numFmtId="0" fontId="10" fillId="42" borderId="30" xfId="0" applyFont="1" applyFill="1" applyBorder="1" applyAlignment="1">
      <alignment horizontal="center" vertical="center"/>
    </xf>
    <xf numFmtId="49" fontId="10" fillId="42" borderId="31" xfId="0" applyNumberFormat="1" applyFont="1" applyFill="1" applyBorder="1" applyAlignment="1">
      <alignment horizontal="center" vertical="center"/>
    </xf>
    <xf numFmtId="175" fontId="7" fillId="0" borderId="77" xfId="0" applyNumberFormat="1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49" fontId="2" fillId="0" borderId="71" xfId="0" applyNumberFormat="1" applyFont="1" applyFill="1" applyBorder="1" applyAlignment="1">
      <alignment wrapText="1" readingOrder="1"/>
    </xf>
    <xf numFmtId="49" fontId="7" fillId="0" borderId="71" xfId="0" applyNumberFormat="1" applyFont="1" applyFill="1" applyBorder="1" applyAlignment="1">
      <alignment wrapText="1" readingOrder="1"/>
    </xf>
    <xf numFmtId="49" fontId="6" fillId="45" borderId="71" xfId="0" applyNumberFormat="1" applyFont="1" applyFill="1" applyBorder="1" applyAlignment="1">
      <alignment wrapText="1" readingOrder="1"/>
    </xf>
    <xf numFmtId="0" fontId="2" fillId="0" borderId="71" xfId="0" applyFont="1" applyBorder="1" applyAlignment="1">
      <alignment vertical="center" wrapText="1"/>
    </xf>
    <xf numFmtId="49" fontId="6" fillId="45" borderId="83" xfId="0" applyNumberFormat="1" applyFont="1" applyFill="1" applyBorder="1" applyAlignment="1">
      <alignment horizontal="left" vertical="center" wrapText="1" readingOrder="1"/>
    </xf>
    <xf numFmtId="49" fontId="7" fillId="0" borderId="84" xfId="0" applyNumberFormat="1" applyFont="1" applyFill="1" applyBorder="1" applyAlignment="1">
      <alignment wrapText="1" readingOrder="1"/>
    </xf>
    <xf numFmtId="49" fontId="2" fillId="35" borderId="71" xfId="0" applyNumberFormat="1" applyFont="1" applyFill="1" applyBorder="1" applyAlignment="1">
      <alignment horizontal="left" vertical="center" wrapText="1" readingOrder="1"/>
    </xf>
    <xf numFmtId="49" fontId="2" fillId="0" borderId="71" xfId="0" applyNumberFormat="1" applyFont="1" applyFill="1" applyBorder="1" applyAlignment="1">
      <alignment horizontal="left" wrapText="1" readingOrder="1"/>
    </xf>
    <xf numFmtId="177" fontId="2" fillId="0" borderId="71" xfId="0" applyNumberFormat="1" applyFont="1" applyFill="1" applyBorder="1" applyAlignment="1" applyProtection="1">
      <alignment horizontal="left" wrapText="1" readingOrder="1"/>
      <protection locked="0"/>
    </xf>
    <xf numFmtId="49" fontId="2" fillId="35" borderId="71" xfId="0" applyNumberFormat="1" applyFont="1" applyFill="1" applyBorder="1" applyAlignment="1">
      <alignment horizontal="left" wrapText="1" readingOrder="1"/>
    </xf>
    <xf numFmtId="0" fontId="6" fillId="42" borderId="83" xfId="0" applyFont="1" applyFill="1" applyBorder="1" applyAlignment="1">
      <alignment vertical="center" wrapText="1"/>
    </xf>
    <xf numFmtId="0" fontId="7" fillId="0" borderId="71" xfId="0" applyFont="1" applyBorder="1" applyAlignment="1">
      <alignment vertical="center" wrapText="1"/>
    </xf>
    <xf numFmtId="49" fontId="9" fillId="0" borderId="34" xfId="0" applyNumberFormat="1" applyFont="1" applyFill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center" vertical="center"/>
    </xf>
    <xf numFmtId="49" fontId="6" fillId="46" borderId="31" xfId="0" applyNumberFormat="1" applyFont="1" applyFill="1" applyBorder="1" applyAlignment="1">
      <alignment horizontal="left" vertical="center" wrapText="1" readingOrder="1"/>
    </xf>
    <xf numFmtId="49" fontId="6" fillId="46" borderId="55" xfId="0" applyNumberFormat="1" applyFont="1" applyFill="1" applyBorder="1" applyAlignment="1">
      <alignment horizontal="center" vertical="center" wrapText="1"/>
    </xf>
    <xf numFmtId="0" fontId="6" fillId="46" borderId="41" xfId="0" applyFont="1" applyFill="1" applyBorder="1" applyAlignment="1">
      <alignment horizontal="center" vertical="center" wrapText="1"/>
    </xf>
    <xf numFmtId="49" fontId="42" fillId="46" borderId="76" xfId="0" applyNumberFormat="1" applyFont="1" applyFill="1" applyBorder="1" applyAlignment="1">
      <alignment horizontal="center" vertical="center" wrapText="1"/>
    </xf>
    <xf numFmtId="175" fontId="1" fillId="46" borderId="55" xfId="0" applyNumberFormat="1" applyFont="1" applyFill="1" applyBorder="1" applyAlignment="1">
      <alignment horizontal="center" vertical="center"/>
    </xf>
    <xf numFmtId="49" fontId="1" fillId="46" borderId="32" xfId="0" applyNumberFormat="1" applyFont="1" applyFill="1" applyBorder="1" applyAlignment="1">
      <alignment horizontal="center" vertical="center" wrapText="1"/>
    </xf>
    <xf numFmtId="49" fontId="1" fillId="46" borderId="41" xfId="0" applyNumberFormat="1" applyFont="1" applyFill="1" applyBorder="1" applyAlignment="1">
      <alignment horizontal="center" vertical="center" wrapText="1"/>
    </xf>
    <xf numFmtId="49" fontId="1" fillId="46" borderId="30" xfId="0" applyNumberFormat="1" applyFont="1" applyFill="1" applyBorder="1" applyAlignment="1">
      <alignment horizontal="center" vertical="center" wrapText="1"/>
    </xf>
    <xf numFmtId="49" fontId="1" fillId="46" borderId="76" xfId="0" applyNumberFormat="1" applyFont="1" applyFill="1" applyBorder="1" applyAlignment="1">
      <alignment horizontal="center" vertical="center" wrapText="1"/>
    </xf>
    <xf numFmtId="175" fontId="1" fillId="46" borderId="55" xfId="0" applyNumberFormat="1" applyFont="1" applyFill="1" applyBorder="1" applyAlignment="1">
      <alignment horizontal="center" vertical="center"/>
    </xf>
    <xf numFmtId="49" fontId="6" fillId="46" borderId="10" xfId="0" applyNumberFormat="1" applyFont="1" applyFill="1" applyBorder="1" applyAlignment="1">
      <alignment horizontal="center" vertical="center"/>
    </xf>
    <xf numFmtId="49" fontId="1" fillId="46" borderId="14" xfId="0" applyNumberFormat="1" applyFont="1" applyFill="1" applyBorder="1" applyAlignment="1">
      <alignment horizontal="center" vertical="center" wrapText="1"/>
    </xf>
    <xf numFmtId="49" fontId="7" fillId="46" borderId="30" xfId="0" applyNumberFormat="1" applyFont="1" applyFill="1" applyBorder="1" applyAlignment="1">
      <alignment horizontal="center" vertical="center" wrapText="1"/>
    </xf>
    <xf numFmtId="175" fontId="1" fillId="46" borderId="10" xfId="0" applyNumberFormat="1" applyFont="1" applyFill="1" applyBorder="1" applyAlignment="1">
      <alignment horizontal="center" vertical="center"/>
    </xf>
    <xf numFmtId="49" fontId="7" fillId="46" borderId="41" xfId="0" applyNumberFormat="1" applyFont="1" applyFill="1" applyBorder="1" applyAlignment="1">
      <alignment horizontal="center" vertical="center" wrapText="1"/>
    </xf>
    <xf numFmtId="0" fontId="6" fillId="46" borderId="17" xfId="0" applyFont="1" applyFill="1" applyBorder="1" applyAlignment="1">
      <alignment horizontal="left" vertical="center" wrapText="1"/>
    </xf>
    <xf numFmtId="0" fontId="6" fillId="46" borderId="11" xfId="0" applyFont="1" applyFill="1" applyBorder="1" applyAlignment="1">
      <alignment horizontal="center" vertical="center" wrapText="1"/>
    </xf>
    <xf numFmtId="49" fontId="1" fillId="46" borderId="11" xfId="0" applyNumberFormat="1" applyFont="1" applyFill="1" applyBorder="1" applyAlignment="1">
      <alignment horizontal="center" vertical="center"/>
    </xf>
    <xf numFmtId="49" fontId="6" fillId="46" borderId="78" xfId="0" applyNumberFormat="1" applyFont="1" applyFill="1" applyBorder="1" applyAlignment="1">
      <alignment wrapText="1" readingOrder="1"/>
    </xf>
    <xf numFmtId="0" fontId="10" fillId="46" borderId="11" xfId="0" applyFont="1" applyFill="1" applyBorder="1" applyAlignment="1">
      <alignment horizontal="center" vertical="center"/>
    </xf>
    <xf numFmtId="0" fontId="10" fillId="46" borderId="29" xfId="0" applyFont="1" applyFill="1" applyBorder="1" applyAlignment="1">
      <alignment horizontal="center" vertical="center"/>
    </xf>
    <xf numFmtId="49" fontId="6" fillId="46" borderId="10" xfId="0" applyNumberFormat="1" applyFont="1" applyFill="1" applyBorder="1" applyAlignment="1">
      <alignment horizontal="center" vertical="center" wrapText="1"/>
    </xf>
    <xf numFmtId="49" fontId="6" fillId="46" borderId="11" xfId="0" applyNumberFormat="1" applyFont="1" applyFill="1" applyBorder="1" applyAlignment="1">
      <alignment horizontal="center" vertical="center" wrapText="1"/>
    </xf>
    <xf numFmtId="49" fontId="6" fillId="46" borderId="71" xfId="0" applyNumberFormat="1" applyFont="1" applyFill="1" applyBorder="1" applyAlignment="1">
      <alignment wrapText="1" readingOrder="1"/>
    </xf>
    <xf numFmtId="49" fontId="10" fillId="46" borderId="78" xfId="0" applyNumberFormat="1" applyFont="1" applyFill="1" applyBorder="1" applyAlignment="1">
      <alignment horizontal="center" vertical="center"/>
    </xf>
    <xf numFmtId="49" fontId="6" fillId="46" borderId="77" xfId="0" applyNumberFormat="1" applyFont="1" applyFill="1" applyBorder="1" applyAlignment="1">
      <alignment horizontal="center" vertical="center"/>
    </xf>
    <xf numFmtId="0" fontId="6" fillId="46" borderId="52" xfId="0" applyFont="1" applyFill="1" applyBorder="1" applyAlignment="1">
      <alignment vertical="center" wrapText="1"/>
    </xf>
    <xf numFmtId="0" fontId="1" fillId="46" borderId="42" xfId="0" applyFont="1" applyFill="1" applyBorder="1" applyAlignment="1">
      <alignment horizontal="center" vertical="center" wrapText="1"/>
    </xf>
    <xf numFmtId="49" fontId="1" fillId="46" borderId="0" xfId="0" applyNumberFormat="1" applyFont="1" applyFill="1" applyBorder="1" applyAlignment="1">
      <alignment horizontal="center" vertical="center"/>
    </xf>
    <xf numFmtId="175" fontId="1" fillId="46" borderId="77" xfId="0" applyNumberFormat="1" applyFont="1" applyFill="1" applyBorder="1" applyAlignment="1">
      <alignment horizontal="center" vertical="center"/>
    </xf>
    <xf numFmtId="0" fontId="6" fillId="46" borderId="76" xfId="0" applyFont="1" applyFill="1" applyBorder="1" applyAlignment="1">
      <alignment vertical="center" wrapText="1"/>
    </xf>
    <xf numFmtId="0" fontId="1" fillId="46" borderId="41" xfId="0" applyFont="1" applyFill="1" applyBorder="1" applyAlignment="1">
      <alignment horizontal="center" vertical="center" wrapText="1"/>
    </xf>
    <xf numFmtId="175" fontId="1" fillId="46" borderId="53" xfId="0" applyNumberFormat="1" applyFont="1" applyFill="1" applyBorder="1" applyAlignment="1">
      <alignment horizontal="center" vertical="center"/>
    </xf>
    <xf numFmtId="0" fontId="6" fillId="47" borderId="51" xfId="0" applyFont="1" applyFill="1" applyBorder="1" applyAlignment="1">
      <alignment vertical="center" wrapText="1"/>
    </xf>
    <xf numFmtId="0" fontId="6" fillId="47" borderId="23" xfId="0" applyFont="1" applyFill="1" applyBorder="1" applyAlignment="1">
      <alignment horizontal="center" vertical="center" wrapText="1"/>
    </xf>
    <xf numFmtId="49" fontId="42" fillId="47" borderId="51" xfId="0" applyNumberFormat="1" applyFont="1" applyFill="1" applyBorder="1" applyAlignment="1">
      <alignment horizontal="center" vertical="center" wrapText="1"/>
    </xf>
    <xf numFmtId="175" fontId="6" fillId="47" borderId="22" xfId="0" applyNumberFormat="1" applyFont="1" applyFill="1" applyBorder="1" applyAlignment="1">
      <alignment horizontal="center" vertical="center"/>
    </xf>
    <xf numFmtId="49" fontId="6" fillId="47" borderId="22" xfId="0" applyNumberFormat="1" applyFont="1" applyFill="1" applyBorder="1" applyAlignment="1">
      <alignment horizontal="center" vertical="center" wrapText="1"/>
    </xf>
    <xf numFmtId="49" fontId="6" fillId="47" borderId="16" xfId="0" applyNumberFormat="1" applyFont="1" applyFill="1" applyBorder="1" applyAlignment="1">
      <alignment horizontal="left" vertical="center" wrapText="1" readingOrder="1"/>
    </xf>
    <xf numFmtId="49" fontId="6" fillId="47" borderId="19" xfId="0" applyNumberFormat="1" applyFont="1" applyFill="1" applyBorder="1" applyAlignment="1">
      <alignment horizontal="center" vertical="center" wrapText="1"/>
    </xf>
    <xf numFmtId="49" fontId="6" fillId="47" borderId="23" xfId="0" applyNumberFormat="1" applyFont="1" applyFill="1" applyBorder="1" applyAlignment="1">
      <alignment horizontal="center" vertical="center" wrapText="1"/>
    </xf>
    <xf numFmtId="49" fontId="6" fillId="47" borderId="27" xfId="0" applyNumberFormat="1" applyFont="1" applyFill="1" applyBorder="1" applyAlignment="1">
      <alignment horizontal="center" vertical="center" wrapText="1"/>
    </xf>
    <xf numFmtId="49" fontId="6" fillId="47" borderId="51" xfId="0" applyNumberFormat="1" applyFont="1" applyFill="1" applyBorder="1" applyAlignment="1">
      <alignment horizontal="center" vertical="center" wrapText="1"/>
    </xf>
    <xf numFmtId="175" fontId="6" fillId="47" borderId="22" xfId="0" applyNumberFormat="1" applyFont="1" applyFill="1" applyBorder="1" applyAlignment="1">
      <alignment horizontal="center" vertical="center"/>
    </xf>
    <xf numFmtId="49" fontId="6" fillId="47" borderId="22" xfId="0" applyNumberFormat="1" applyFont="1" applyFill="1" applyBorder="1" applyAlignment="1">
      <alignment horizontal="center" vertical="center"/>
    </xf>
    <xf numFmtId="49" fontId="6" fillId="47" borderId="50" xfId="0" applyNumberFormat="1" applyFont="1" applyFill="1" applyBorder="1" applyAlignment="1">
      <alignment wrapText="1" readingOrder="1"/>
    </xf>
    <xf numFmtId="49" fontId="6" fillId="47" borderId="23" xfId="0" applyNumberFormat="1" applyFont="1" applyFill="1" applyBorder="1" applyAlignment="1">
      <alignment horizontal="center" vertical="center"/>
    </xf>
    <xf numFmtId="0" fontId="6" fillId="47" borderId="23" xfId="0" applyFont="1" applyFill="1" applyBorder="1" applyAlignment="1">
      <alignment horizontal="center" vertical="center"/>
    </xf>
    <xf numFmtId="0" fontId="6" fillId="47" borderId="27" xfId="0" applyFont="1" applyFill="1" applyBorder="1" applyAlignment="1">
      <alignment horizontal="center" vertical="center"/>
    </xf>
    <xf numFmtId="49" fontId="6" fillId="47" borderId="16" xfId="0" applyNumberFormat="1" applyFont="1" applyFill="1" applyBorder="1" applyAlignment="1">
      <alignment horizontal="center" vertical="center"/>
    </xf>
    <xf numFmtId="49" fontId="6" fillId="47" borderId="22" xfId="0" applyNumberFormat="1" applyFont="1" applyFill="1" applyBorder="1" applyAlignment="1">
      <alignment horizontal="center" vertical="center"/>
    </xf>
    <xf numFmtId="0" fontId="6" fillId="47" borderId="51" xfId="0" applyFont="1" applyFill="1" applyBorder="1" applyAlignment="1">
      <alignment vertical="center" wrapText="1"/>
    </xf>
    <xf numFmtId="0" fontId="6" fillId="47" borderId="23" xfId="0" applyFont="1" applyFill="1" applyBorder="1" applyAlignment="1">
      <alignment horizontal="center" vertical="center" wrapText="1"/>
    </xf>
    <xf numFmtId="49" fontId="6" fillId="47" borderId="16" xfId="0" applyNumberFormat="1" applyFont="1" applyFill="1" applyBorder="1" applyAlignment="1">
      <alignment horizontal="center" vertical="center"/>
    </xf>
    <xf numFmtId="49" fontId="6" fillId="47" borderId="22" xfId="0" applyNumberFormat="1" applyFont="1" applyFill="1" applyBorder="1" applyAlignment="1">
      <alignment horizontal="center" vertical="center" wrapText="1"/>
    </xf>
    <xf numFmtId="49" fontId="7" fillId="0" borderId="54" xfId="0" applyNumberFormat="1" applyFont="1" applyFill="1" applyBorder="1" applyAlignment="1">
      <alignment wrapText="1" readingOrder="1"/>
    </xf>
    <xf numFmtId="49" fontId="6" fillId="46" borderId="55" xfId="0" applyNumberFormat="1" applyFont="1" applyFill="1" applyBorder="1" applyAlignment="1">
      <alignment horizontal="center" vertical="center"/>
    </xf>
    <xf numFmtId="49" fontId="1" fillId="46" borderId="41" xfId="0" applyNumberFormat="1" applyFont="1" applyFill="1" applyBorder="1" applyAlignment="1">
      <alignment horizontal="center" vertical="center"/>
    </xf>
    <xf numFmtId="49" fontId="1" fillId="46" borderId="30" xfId="0" applyNumberFormat="1" applyFont="1" applyFill="1" applyBorder="1" applyAlignment="1">
      <alignment horizontal="center" vertical="center"/>
    </xf>
    <xf numFmtId="49" fontId="1" fillId="46" borderId="76" xfId="0" applyNumberFormat="1" applyFont="1" applyFill="1" applyBorder="1" applyAlignment="1">
      <alignment horizontal="center" vertical="center"/>
    </xf>
    <xf numFmtId="49" fontId="6" fillId="47" borderId="27" xfId="0" applyNumberFormat="1" applyFont="1" applyFill="1" applyBorder="1" applyAlignment="1">
      <alignment horizontal="center" vertical="center"/>
    </xf>
    <xf numFmtId="49" fontId="6" fillId="47" borderId="51" xfId="0" applyNumberFormat="1" applyFont="1" applyFill="1" applyBorder="1" applyAlignment="1">
      <alignment horizontal="center" vertical="center"/>
    </xf>
    <xf numFmtId="49" fontId="1" fillId="0" borderId="69" xfId="0" applyNumberFormat="1" applyFont="1" applyFill="1" applyBorder="1" applyAlignment="1">
      <alignment horizontal="center" vertical="center"/>
    </xf>
    <xf numFmtId="49" fontId="36" fillId="46" borderId="30" xfId="0" applyNumberFormat="1" applyFont="1" applyFill="1" applyBorder="1" applyAlignment="1">
      <alignment horizontal="center" vertical="center" wrapText="1"/>
    </xf>
    <xf numFmtId="49" fontId="0" fillId="46" borderId="76" xfId="0" applyNumberFormat="1" applyFont="1" applyFill="1" applyBorder="1" applyAlignment="1">
      <alignment horizontal="center" vertical="center"/>
    </xf>
    <xf numFmtId="49" fontId="42" fillId="47" borderId="23" xfId="0" applyNumberFormat="1" applyFont="1" applyFill="1" applyBorder="1" applyAlignment="1">
      <alignment horizontal="center" vertical="center" wrapText="1"/>
    </xf>
    <xf numFmtId="49" fontId="44" fillId="47" borderId="27" xfId="0" applyNumberFormat="1" applyFont="1" applyFill="1" applyBorder="1" applyAlignment="1">
      <alignment horizontal="center" vertical="center" wrapText="1"/>
    </xf>
    <xf numFmtId="49" fontId="42" fillId="47" borderId="51" xfId="0" applyNumberFormat="1" applyFont="1" applyFill="1" applyBorder="1" applyAlignment="1">
      <alignment horizontal="center" vertical="center"/>
    </xf>
    <xf numFmtId="49" fontId="42" fillId="47" borderId="27" xfId="0" applyNumberFormat="1" applyFont="1" applyFill="1" applyBorder="1" applyAlignment="1">
      <alignment horizontal="center" vertical="center" wrapText="1"/>
    </xf>
    <xf numFmtId="49" fontId="1" fillId="0" borderId="59" xfId="0" applyNumberFormat="1" applyFont="1" applyFill="1" applyBorder="1" applyAlignment="1">
      <alignment horizontal="center" vertical="center" wrapText="1"/>
    </xf>
    <xf numFmtId="49" fontId="6" fillId="0" borderId="54" xfId="0" applyNumberFormat="1" applyFont="1" applyFill="1" applyBorder="1" applyAlignment="1">
      <alignment horizontal="left" vertical="center" wrapText="1" readingOrder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175" fontId="6" fillId="0" borderId="59" xfId="0" applyNumberFormat="1" applyFont="1" applyFill="1" applyBorder="1" applyAlignment="1">
      <alignment horizontal="center" vertical="center"/>
    </xf>
    <xf numFmtId="49" fontId="6" fillId="33" borderId="31" xfId="0" applyNumberFormat="1" applyFont="1" applyFill="1" applyBorder="1" applyAlignment="1">
      <alignment wrapText="1" readingOrder="1"/>
    </xf>
    <xf numFmtId="49" fontId="6" fillId="33" borderId="41" xfId="0" applyNumberFormat="1" applyFont="1" applyFill="1" applyBorder="1" applyAlignment="1">
      <alignment horizontal="center" vertical="center" wrapText="1"/>
    </xf>
    <xf numFmtId="49" fontId="6" fillId="33" borderId="30" xfId="0" applyNumberFormat="1" applyFont="1" applyFill="1" applyBorder="1" applyAlignment="1">
      <alignment horizontal="center" vertical="center" wrapText="1"/>
    </xf>
    <xf numFmtId="49" fontId="4" fillId="0" borderId="59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175" fontId="6" fillId="0" borderId="59" xfId="0" applyNumberFormat="1" applyFont="1" applyFill="1" applyBorder="1" applyAlignment="1">
      <alignment horizontal="center" vertical="center"/>
    </xf>
    <xf numFmtId="175" fontId="1" fillId="33" borderId="78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75" fontId="7" fillId="0" borderId="34" xfId="0" applyNumberFormat="1" applyFont="1" applyFill="1" applyBorder="1" applyAlignment="1">
      <alignment horizontal="center" vertical="center"/>
    </xf>
    <xf numFmtId="0" fontId="33" fillId="0" borderId="20" xfId="0" applyFont="1" applyBorder="1" applyAlignment="1">
      <alignment vertical="top" wrapText="1"/>
    </xf>
    <xf numFmtId="0" fontId="21" fillId="0" borderId="20" xfId="0" applyFont="1" applyBorder="1" applyAlignment="1">
      <alignment vertical="top" wrapText="1"/>
    </xf>
    <xf numFmtId="49" fontId="49" fillId="0" borderId="14" xfId="0" applyNumberFormat="1" applyFont="1" applyBorder="1" applyAlignment="1">
      <alignment horizontal="center" vertical="center" wrapText="1"/>
    </xf>
    <xf numFmtId="49" fontId="33" fillId="0" borderId="15" xfId="0" applyNumberFormat="1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30" fillId="0" borderId="55" xfId="0" applyFont="1" applyFill="1" applyBorder="1" applyAlignment="1">
      <alignment vertical="top" wrapText="1"/>
    </xf>
    <xf numFmtId="173" fontId="47" fillId="0" borderId="11" xfId="0" applyNumberFormat="1" applyFont="1" applyBorder="1" applyAlignment="1">
      <alignment horizontal="center" vertical="center" wrapText="1"/>
    </xf>
    <xf numFmtId="173" fontId="45" fillId="37" borderId="56" xfId="0" applyNumberFormat="1" applyFont="1" applyFill="1" applyBorder="1" applyAlignment="1">
      <alignment horizontal="center" vertical="center" wrapText="1"/>
    </xf>
    <xf numFmtId="173" fontId="39" fillId="0" borderId="25" xfId="0" applyNumberFormat="1" applyFont="1" applyBorder="1" applyAlignment="1">
      <alignment horizontal="center" vertical="center" wrapText="1"/>
    </xf>
    <xf numFmtId="173" fontId="47" fillId="0" borderId="25" xfId="0" applyNumberFormat="1" applyFont="1" applyBorder="1" applyAlignment="1">
      <alignment horizontal="center" vertical="center" wrapText="1"/>
    </xf>
    <xf numFmtId="173" fontId="37" fillId="0" borderId="25" xfId="0" applyNumberFormat="1" applyFont="1" applyBorder="1" applyAlignment="1">
      <alignment horizontal="center" vertical="center" wrapText="1"/>
    </xf>
    <xf numFmtId="173" fontId="34" fillId="36" borderId="25" xfId="0" applyNumberFormat="1" applyFont="1" applyFill="1" applyBorder="1" applyAlignment="1">
      <alignment horizontal="center" vertical="center" wrapText="1"/>
    </xf>
    <xf numFmtId="173" fontId="17" fillId="36" borderId="25" xfId="0" applyNumberFormat="1" applyFont="1" applyFill="1" applyBorder="1" applyAlignment="1">
      <alignment horizontal="center" vertical="center" wrapText="1"/>
    </xf>
    <xf numFmtId="173" fontId="22" fillId="37" borderId="25" xfId="0" applyNumberFormat="1" applyFont="1" applyFill="1" applyBorder="1" applyAlignment="1">
      <alignment horizontal="center" vertical="center" wrapText="1"/>
    </xf>
    <xf numFmtId="173" fontId="23" fillId="36" borderId="25" xfId="0" applyNumberFormat="1" applyFont="1" applyFill="1" applyBorder="1" applyAlignment="1">
      <alignment horizontal="center" vertical="center" wrapText="1"/>
    </xf>
    <xf numFmtId="173" fontId="39" fillId="0" borderId="25" xfId="0" applyNumberFormat="1" applyFont="1" applyFill="1" applyBorder="1" applyAlignment="1">
      <alignment horizontal="center" vertical="center" wrapText="1"/>
    </xf>
    <xf numFmtId="173" fontId="20" fillId="0" borderId="25" xfId="0" applyNumberFormat="1" applyFont="1" applyFill="1" applyBorder="1" applyAlignment="1">
      <alignment horizontal="center" vertical="center" wrapText="1"/>
    </xf>
    <xf numFmtId="173" fontId="37" fillId="0" borderId="25" xfId="0" applyNumberFormat="1" applyFont="1" applyFill="1" applyBorder="1" applyAlignment="1">
      <alignment horizontal="center" vertical="center" wrapText="1"/>
    </xf>
    <xf numFmtId="173" fontId="48" fillId="0" borderId="25" xfId="0" applyNumberFormat="1" applyFont="1" applyFill="1" applyBorder="1" applyAlignment="1">
      <alignment horizontal="center" vertical="center" wrapText="1"/>
    </xf>
    <xf numFmtId="173" fontId="20" fillId="0" borderId="25" xfId="0" applyNumberFormat="1" applyFont="1" applyBorder="1" applyAlignment="1">
      <alignment horizontal="center" vertical="center" wrapText="1"/>
    </xf>
    <xf numFmtId="173" fontId="48" fillId="0" borderId="25" xfId="0" applyNumberFormat="1" applyFont="1" applyBorder="1" applyAlignment="1">
      <alignment horizontal="center" vertical="center" wrapText="1"/>
    </xf>
    <xf numFmtId="173" fontId="37" fillId="0" borderId="25" xfId="0" applyNumberFormat="1" applyFont="1" applyBorder="1" applyAlignment="1">
      <alignment horizontal="center" vertical="center" wrapText="1"/>
    </xf>
    <xf numFmtId="173" fontId="23" fillId="0" borderId="25" xfId="0" applyNumberFormat="1" applyFont="1" applyFill="1" applyBorder="1" applyAlignment="1">
      <alignment horizontal="center" vertical="center" wrapText="1"/>
    </xf>
    <xf numFmtId="173" fontId="43" fillId="0" borderId="25" xfId="0" applyNumberFormat="1" applyFont="1" applyFill="1" applyBorder="1" applyAlignment="1">
      <alignment horizontal="center" vertical="center" wrapText="1"/>
    </xf>
    <xf numFmtId="173" fontId="46" fillId="0" borderId="25" xfId="0" applyNumberFormat="1" applyFont="1" applyFill="1" applyBorder="1" applyAlignment="1">
      <alignment horizontal="center" vertical="center" wrapText="1"/>
    </xf>
    <xf numFmtId="173" fontId="10" fillId="0" borderId="14" xfId="0" applyNumberFormat="1" applyFont="1" applyBorder="1" applyAlignment="1">
      <alignment horizontal="center" vertical="center"/>
    </xf>
    <xf numFmtId="173" fontId="47" fillId="0" borderId="14" xfId="0" applyNumberFormat="1" applyFont="1" applyBorder="1" applyAlignment="1">
      <alignment horizontal="center" vertical="center" wrapText="1"/>
    </xf>
    <xf numFmtId="173" fontId="47" fillId="0" borderId="29" xfId="0" applyNumberFormat="1" applyFont="1" applyBorder="1" applyAlignment="1">
      <alignment horizontal="center" vertical="center" wrapText="1"/>
    </xf>
    <xf numFmtId="173" fontId="36" fillId="0" borderId="14" xfId="0" applyNumberFormat="1" applyFont="1" applyBorder="1" applyAlignment="1">
      <alignment horizontal="center" vertical="center"/>
    </xf>
    <xf numFmtId="173" fontId="28" fillId="0" borderId="14" xfId="0" applyNumberFormat="1" applyFont="1" applyBorder="1" applyAlignment="1">
      <alignment horizontal="center" vertical="center"/>
    </xf>
    <xf numFmtId="173" fontId="34" fillId="36" borderId="14" xfId="0" applyNumberFormat="1" applyFont="1" applyFill="1" applyBorder="1" applyAlignment="1">
      <alignment horizontal="center" vertical="center" wrapText="1"/>
    </xf>
    <xf numFmtId="173" fontId="5" fillId="0" borderId="14" xfId="0" applyNumberFormat="1" applyFont="1" applyBorder="1" applyAlignment="1">
      <alignment horizontal="center" vertical="center"/>
    </xf>
    <xf numFmtId="173" fontId="17" fillId="36" borderId="14" xfId="0" applyNumberFormat="1" applyFont="1" applyFill="1" applyBorder="1" applyAlignment="1">
      <alignment horizontal="center" vertical="center" wrapText="1"/>
    </xf>
    <xf numFmtId="173" fontId="5" fillId="0" borderId="14" xfId="0" applyNumberFormat="1" applyFont="1" applyBorder="1" applyAlignment="1">
      <alignment horizontal="center" vertical="center"/>
    </xf>
    <xf numFmtId="173" fontId="5" fillId="37" borderId="14" xfId="0" applyNumberFormat="1" applyFont="1" applyFill="1" applyBorder="1" applyAlignment="1">
      <alignment horizontal="center" vertical="center"/>
    </xf>
    <xf numFmtId="173" fontId="23" fillId="36" borderId="14" xfId="0" applyNumberFormat="1" applyFont="1" applyFill="1" applyBorder="1" applyAlignment="1">
      <alignment horizontal="center" vertical="center" wrapText="1"/>
    </xf>
    <xf numFmtId="173" fontId="39" fillId="0" borderId="14" xfId="0" applyNumberFormat="1" applyFont="1" applyFill="1" applyBorder="1" applyAlignment="1">
      <alignment horizontal="center" vertical="center" wrapText="1"/>
    </xf>
    <xf numFmtId="173" fontId="20" fillId="0" borderId="14" xfId="0" applyNumberFormat="1" applyFont="1" applyFill="1" applyBorder="1" applyAlignment="1">
      <alignment horizontal="center" vertical="center" wrapText="1"/>
    </xf>
    <xf numFmtId="173" fontId="36" fillId="0" borderId="14" xfId="0" applyNumberFormat="1" applyFont="1" applyFill="1" applyBorder="1" applyAlignment="1">
      <alignment horizontal="center" vertical="center"/>
    </xf>
    <xf numFmtId="173" fontId="37" fillId="0" borderId="14" xfId="0" applyNumberFormat="1" applyFont="1" applyFill="1" applyBorder="1" applyAlignment="1">
      <alignment horizontal="center" vertical="center" wrapText="1"/>
    </xf>
    <xf numFmtId="173" fontId="5" fillId="0" borderId="14" xfId="0" applyNumberFormat="1" applyFont="1" applyFill="1" applyBorder="1" applyAlignment="1">
      <alignment horizontal="center" vertical="center"/>
    </xf>
    <xf numFmtId="173" fontId="39" fillId="0" borderId="14" xfId="0" applyNumberFormat="1" applyFont="1" applyBorder="1" applyAlignment="1">
      <alignment horizontal="center" vertical="center" wrapText="1"/>
    </xf>
    <xf numFmtId="173" fontId="20" fillId="0" borderId="14" xfId="0" applyNumberFormat="1" applyFont="1" applyBorder="1" applyAlignment="1">
      <alignment horizontal="center" vertical="center" wrapText="1"/>
    </xf>
    <xf numFmtId="173" fontId="23" fillId="0" borderId="14" xfId="0" applyNumberFormat="1" applyFont="1" applyFill="1" applyBorder="1" applyAlignment="1">
      <alignment horizontal="center" vertical="center" wrapText="1"/>
    </xf>
    <xf numFmtId="173" fontId="43" fillId="0" borderId="14" xfId="0" applyNumberFormat="1" applyFont="1" applyFill="1" applyBorder="1" applyAlignment="1">
      <alignment horizontal="center" vertical="center" wrapText="1"/>
    </xf>
    <xf numFmtId="173" fontId="43" fillId="0" borderId="14" xfId="0" applyNumberFormat="1" applyFont="1" applyFill="1" applyBorder="1" applyAlignment="1">
      <alignment horizontal="center" vertical="center" wrapText="1"/>
    </xf>
    <xf numFmtId="173" fontId="36" fillId="0" borderId="17" xfId="0" applyNumberFormat="1" applyFont="1" applyBorder="1" applyAlignment="1">
      <alignment horizontal="center" vertical="center"/>
    </xf>
    <xf numFmtId="173" fontId="36" fillId="0" borderId="71" xfId="0" applyNumberFormat="1" applyFont="1" applyBorder="1" applyAlignment="1">
      <alignment horizontal="center" vertical="center"/>
    </xf>
    <xf numFmtId="0" fontId="33" fillId="0" borderId="20" xfId="0" applyFont="1" applyBorder="1" applyAlignment="1">
      <alignment horizontal="left" vertical="top" wrapText="1"/>
    </xf>
    <xf numFmtId="173" fontId="48" fillId="0" borderId="25" xfId="0" applyNumberFormat="1" applyFont="1" applyBorder="1" applyAlignment="1">
      <alignment horizontal="center" vertical="center" wrapText="1"/>
    </xf>
    <xf numFmtId="173" fontId="26" fillId="0" borderId="14" xfId="0" applyNumberFormat="1" applyFont="1" applyBorder="1" applyAlignment="1">
      <alignment horizontal="center" vertical="center"/>
    </xf>
    <xf numFmtId="173" fontId="26" fillId="0" borderId="17" xfId="0" applyNumberFormat="1" applyFont="1" applyBorder="1" applyAlignment="1">
      <alignment horizontal="center" vertical="center"/>
    </xf>
    <xf numFmtId="173" fontId="26" fillId="0" borderId="71" xfId="0" applyNumberFormat="1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top" wrapText="1"/>
    </xf>
    <xf numFmtId="0" fontId="9" fillId="0" borderId="58" xfId="0" applyNumberFormat="1" applyFont="1" applyBorder="1" applyAlignment="1" applyProtection="1">
      <alignment horizontal="center" vertical="center" wrapText="1"/>
      <protection locked="0"/>
    </xf>
    <xf numFmtId="0" fontId="1" fillId="40" borderId="41" xfId="0" applyNumberFormat="1" applyFont="1" applyFill="1" applyBorder="1" applyAlignment="1" applyProtection="1">
      <alignment horizontal="center" vertical="center" wrapText="1"/>
      <protection locked="0"/>
    </xf>
    <xf numFmtId="0" fontId="6" fillId="46" borderId="32" xfId="0" applyFont="1" applyFill="1" applyBorder="1" applyAlignment="1">
      <alignment horizontal="left" vertical="center" wrapText="1"/>
    </xf>
    <xf numFmtId="49" fontId="6" fillId="46" borderId="29" xfId="0" applyNumberFormat="1" applyFont="1" applyFill="1" applyBorder="1" applyAlignment="1">
      <alignment horizontal="center" vertical="center" wrapText="1"/>
    </xf>
    <xf numFmtId="0" fontId="6" fillId="46" borderId="11" xfId="0" applyFont="1" applyFill="1" applyBorder="1" applyAlignment="1">
      <alignment horizontal="left" vertical="center" wrapText="1"/>
    </xf>
    <xf numFmtId="49" fontId="42" fillId="46" borderId="17" xfId="0" applyNumberFormat="1" applyFont="1" applyFill="1" applyBorder="1" applyAlignment="1">
      <alignment horizontal="center" vertical="center" wrapText="1"/>
    </xf>
    <xf numFmtId="175" fontId="1" fillId="46" borderId="14" xfId="0" applyNumberFormat="1" applyFont="1" applyFill="1" applyBorder="1" applyAlignment="1">
      <alignment horizontal="center" vertical="center"/>
    </xf>
    <xf numFmtId="0" fontId="1" fillId="48" borderId="19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75" fontId="6" fillId="43" borderId="53" xfId="0" applyNumberFormat="1" applyFont="1" applyFill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11" fillId="39" borderId="78" xfId="0" applyNumberFormat="1" applyFont="1" applyFill="1" applyBorder="1" applyAlignment="1">
      <alignment horizontal="center" vertical="center" wrapText="1"/>
    </xf>
    <xf numFmtId="49" fontId="6" fillId="33" borderId="78" xfId="0" applyNumberFormat="1" applyFont="1" applyFill="1" applyBorder="1" applyAlignment="1">
      <alignment horizontal="center" vertical="center" wrapText="1"/>
    </xf>
    <xf numFmtId="49" fontId="4" fillId="0" borderId="54" xfId="0" applyNumberFormat="1" applyFont="1" applyFill="1" applyBorder="1" applyAlignment="1">
      <alignment horizontal="center" vertical="center" wrapText="1"/>
    </xf>
    <xf numFmtId="49" fontId="6" fillId="43" borderId="16" xfId="0" applyNumberFormat="1" applyFont="1" applyFill="1" applyBorder="1" applyAlignment="1">
      <alignment horizontal="center" vertical="center" wrapText="1"/>
    </xf>
    <xf numFmtId="49" fontId="1" fillId="33" borderId="31" xfId="0" applyNumberFormat="1" applyFont="1" applyFill="1" applyBorder="1" applyAlignment="1">
      <alignment horizontal="center" vertical="center" wrapText="1"/>
    </xf>
    <xf numFmtId="49" fontId="6" fillId="0" borderId="54" xfId="0" applyNumberFormat="1" applyFont="1" applyFill="1" applyBorder="1" applyAlignment="1">
      <alignment horizontal="center" vertical="center" wrapText="1"/>
    </xf>
    <xf numFmtId="49" fontId="6" fillId="47" borderId="16" xfId="0" applyNumberFormat="1" applyFont="1" applyFill="1" applyBorder="1" applyAlignment="1">
      <alignment horizontal="center" vertical="center" wrapText="1"/>
    </xf>
    <xf numFmtId="49" fontId="6" fillId="33" borderId="31" xfId="0" applyNumberFormat="1" applyFont="1" applyFill="1" applyBorder="1" applyAlignment="1">
      <alignment horizontal="center" vertical="center" wrapText="1"/>
    </xf>
    <xf numFmtId="49" fontId="28" fillId="0" borderId="78" xfId="0" applyNumberFormat="1" applyFont="1" applyFill="1" applyBorder="1" applyAlignment="1">
      <alignment horizontal="center" vertical="center" wrapText="1"/>
    </xf>
    <xf numFmtId="49" fontId="27" fillId="0" borderId="78" xfId="0" applyNumberFormat="1" applyFont="1" applyFill="1" applyBorder="1" applyAlignment="1">
      <alignment horizontal="center" vertical="center" wrapText="1"/>
    </xf>
    <xf numFmtId="49" fontId="9" fillId="33" borderId="78" xfId="0" applyNumberFormat="1" applyFont="1" applyFill="1" applyBorder="1" applyAlignment="1">
      <alignment horizontal="center" vertical="center" wrapText="1"/>
    </xf>
    <xf numFmtId="49" fontId="1" fillId="0" borderId="78" xfId="0" applyNumberFormat="1" applyFont="1" applyFill="1" applyBorder="1" applyAlignment="1">
      <alignment horizontal="center" vertical="center" wrapText="1"/>
    </xf>
    <xf numFmtId="49" fontId="44" fillId="43" borderId="16" xfId="0" applyNumberFormat="1" applyFont="1" applyFill="1" applyBorder="1" applyAlignment="1">
      <alignment horizontal="center" vertical="center" wrapText="1"/>
    </xf>
    <xf numFmtId="49" fontId="7" fillId="46" borderId="31" xfId="0" applyNumberFormat="1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0" fillId="0" borderId="85" xfId="0" applyBorder="1" applyAlignment="1">
      <alignment/>
    </xf>
    <xf numFmtId="173" fontId="43" fillId="0" borderId="0" xfId="0" applyNumberFormat="1" applyFont="1" applyFill="1" applyBorder="1" applyAlignment="1">
      <alignment horizontal="center" vertical="center" wrapText="1"/>
    </xf>
    <xf numFmtId="173" fontId="9" fillId="0" borderId="0" xfId="0" applyNumberFormat="1" applyFont="1" applyBorder="1" applyAlignment="1">
      <alignment horizontal="center" vertical="center" wrapText="1"/>
    </xf>
    <xf numFmtId="49" fontId="1" fillId="35" borderId="4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5" fontId="6" fillId="47" borderId="53" xfId="0" applyNumberFormat="1" applyFont="1" applyFill="1" applyBorder="1" applyAlignment="1">
      <alignment horizontal="center" vertical="center"/>
    </xf>
    <xf numFmtId="49" fontId="29" fillId="46" borderId="78" xfId="0" applyNumberFormat="1" applyFont="1" applyFill="1" applyBorder="1" applyAlignment="1">
      <alignment horizontal="center" vertical="center" wrapText="1"/>
    </xf>
    <xf numFmtId="49" fontId="26" fillId="0" borderId="78" xfId="0" applyNumberFormat="1" applyFont="1" applyFill="1" applyBorder="1" applyAlignment="1">
      <alignment horizontal="center" vertical="center"/>
    </xf>
    <xf numFmtId="175" fontId="1" fillId="46" borderId="33" xfId="0" applyNumberFormat="1" applyFont="1" applyFill="1" applyBorder="1" applyAlignment="1">
      <alignment horizontal="center" vertical="center"/>
    </xf>
    <xf numFmtId="0" fontId="0" fillId="0" borderId="20" xfId="0" applyNumberFormat="1" applyBorder="1" applyAlignment="1" applyProtection="1">
      <alignment horizontal="center" vertical="center" wrapText="1"/>
      <protection locked="0"/>
    </xf>
    <xf numFmtId="0" fontId="36" fillId="0" borderId="20" xfId="0" applyNumberFormat="1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9" fillId="0" borderId="73" xfId="0" applyNumberFormat="1" applyFont="1" applyBorder="1" applyAlignment="1" applyProtection="1">
      <alignment horizontal="center" vertical="center" wrapText="1"/>
      <protection locked="0"/>
    </xf>
    <xf numFmtId="0" fontId="1" fillId="40" borderId="70" xfId="0" applyNumberFormat="1" applyFont="1" applyFill="1" applyBorder="1" applyAlignment="1" applyProtection="1">
      <alignment horizontal="center" vertical="center" wrapText="1"/>
      <protection locked="0"/>
    </xf>
    <xf numFmtId="0" fontId="126" fillId="0" borderId="20" xfId="0" applyFont="1" applyBorder="1" applyAlignment="1">
      <alignment horizontal="center" vertical="center" wrapText="1"/>
    </xf>
    <xf numFmtId="0" fontId="26" fillId="0" borderId="14" xfId="0" applyFont="1" applyBorder="1" applyAlignment="1">
      <alignment vertical="center" wrapText="1"/>
    </xf>
    <xf numFmtId="0" fontId="26" fillId="0" borderId="2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73" fontId="26" fillId="0" borderId="10" xfId="0" applyNumberFormat="1" applyFont="1" applyBorder="1" applyAlignment="1">
      <alignment horizontal="center" vertical="center" wrapText="1"/>
    </xf>
    <xf numFmtId="173" fontId="26" fillId="0" borderId="25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6" fillId="0" borderId="11" xfId="0" applyNumberFormat="1" applyFont="1" applyBorder="1" applyAlignment="1" applyProtection="1">
      <alignment horizontal="center" vertical="center" wrapText="1"/>
      <protection locked="0"/>
    </xf>
    <xf numFmtId="0" fontId="26" fillId="0" borderId="20" xfId="0" applyNumberFormat="1" applyFont="1" applyBorder="1" applyAlignment="1" applyProtection="1">
      <alignment horizontal="center" vertical="center" wrapText="1"/>
      <protection locked="0"/>
    </xf>
    <xf numFmtId="49" fontId="9" fillId="0" borderId="54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Alignment="1" applyProtection="1">
      <alignment wrapText="1"/>
      <protection locked="0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78" xfId="0" applyFont="1" applyBorder="1" applyAlignment="1">
      <alignment vertical="center" wrapText="1"/>
    </xf>
    <xf numFmtId="49" fontId="1" fillId="40" borderId="24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 wrapText="1"/>
    </xf>
    <xf numFmtId="173" fontId="17" fillId="34" borderId="25" xfId="0" applyNumberFormat="1" applyFont="1" applyFill="1" applyBorder="1" applyAlignment="1">
      <alignment horizontal="center" vertical="center" wrapText="1"/>
    </xf>
    <xf numFmtId="173" fontId="4" fillId="34" borderId="14" xfId="0" applyNumberFormat="1" applyFont="1" applyFill="1" applyBorder="1" applyAlignment="1">
      <alignment horizontal="center" vertical="center"/>
    </xf>
    <xf numFmtId="173" fontId="4" fillId="34" borderId="11" xfId="0" applyNumberFormat="1" applyFont="1" applyFill="1" applyBorder="1" applyAlignment="1">
      <alignment horizontal="center" vertical="center"/>
    </xf>
    <xf numFmtId="173" fontId="4" fillId="34" borderId="29" xfId="0" applyNumberFormat="1" applyFont="1" applyFill="1" applyBorder="1" applyAlignment="1">
      <alignment horizontal="center" vertical="center"/>
    </xf>
    <xf numFmtId="0" fontId="1" fillId="45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7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38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center" vertical="center" wrapText="1"/>
      <protection locked="0"/>
    </xf>
    <xf numFmtId="0" fontId="1" fillId="45" borderId="3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36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78" xfId="0" applyNumberFormat="1" applyFont="1" applyFill="1" applyBorder="1" applyAlignment="1" applyProtection="1">
      <alignment horizontal="center" vertical="center"/>
      <protection locked="0"/>
    </xf>
    <xf numFmtId="0" fontId="1" fillId="45" borderId="4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31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9" fillId="42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center" vertical="center" wrapText="1"/>
      <protection locked="0"/>
    </xf>
    <xf numFmtId="175" fontId="7" fillId="0" borderId="59" xfId="0" applyNumberFormat="1" applyFont="1" applyFill="1" applyBorder="1" applyAlignment="1" applyProtection="1">
      <alignment horizontal="center" vertical="center"/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59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77" xfId="0" applyNumberFormat="1" applyFont="1" applyFill="1" applyBorder="1" applyAlignment="1" applyProtection="1">
      <alignment horizontal="center" vertical="center"/>
      <protection locked="0"/>
    </xf>
    <xf numFmtId="49" fontId="9" fillId="0" borderId="22" xfId="0" applyNumberFormat="1" applyFont="1" applyFill="1" applyBorder="1" applyAlignment="1" applyProtection="1">
      <alignment horizontal="center" vertical="center"/>
      <protection locked="0"/>
    </xf>
    <xf numFmtId="49" fontId="0" fillId="0" borderId="19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1" fillId="45" borderId="55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78" xfId="0" applyNumberFormat="1" applyFont="1" applyFill="1" applyBorder="1" applyAlignment="1" applyProtection="1">
      <alignment horizontal="center" vertical="center"/>
      <protection locked="0"/>
    </xf>
    <xf numFmtId="49" fontId="1" fillId="49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Border="1" applyAlignment="1" applyProtection="1">
      <alignment horizontal="center" vertical="center" wrapText="1"/>
      <protection locked="0"/>
    </xf>
    <xf numFmtId="175" fontId="1" fillId="45" borderId="10" xfId="0" applyNumberFormat="1" applyFont="1" applyFill="1" applyBorder="1" applyAlignment="1" applyProtection="1">
      <alignment horizontal="center" vertical="center"/>
      <protection locked="0"/>
    </xf>
    <xf numFmtId="175" fontId="1" fillId="0" borderId="10" xfId="0" applyNumberFormat="1" applyFont="1" applyFill="1" applyBorder="1" applyAlignment="1" applyProtection="1">
      <alignment horizontal="center" vertical="center"/>
      <protection locked="0"/>
    </xf>
    <xf numFmtId="175" fontId="7" fillId="0" borderId="10" xfId="0" applyNumberFormat="1" applyFont="1" applyFill="1" applyBorder="1" applyAlignment="1" applyProtection="1">
      <alignment horizontal="center" vertical="center"/>
      <protection locked="0"/>
    </xf>
    <xf numFmtId="175" fontId="0" fillId="0" borderId="10" xfId="0" applyNumberFormat="1" applyFont="1" applyFill="1" applyBorder="1" applyAlignment="1" applyProtection="1">
      <alignment horizontal="center" vertical="center"/>
      <protection locked="0"/>
    </xf>
    <xf numFmtId="175" fontId="10" fillId="0" borderId="10" xfId="0" applyNumberFormat="1" applyFont="1" applyFill="1" applyBorder="1" applyAlignment="1" applyProtection="1">
      <alignment horizontal="center" vertical="center"/>
      <protection locked="0"/>
    </xf>
    <xf numFmtId="175" fontId="10" fillId="0" borderId="10" xfId="0" applyNumberFormat="1" applyFont="1" applyFill="1" applyBorder="1" applyAlignment="1" applyProtection="1">
      <alignment horizontal="center" vertical="center"/>
      <protection locked="0"/>
    </xf>
    <xf numFmtId="175" fontId="7" fillId="0" borderId="10" xfId="0" applyNumberFormat="1" applyFont="1" applyFill="1" applyBorder="1" applyAlignment="1" applyProtection="1">
      <alignment horizontal="center" vertical="center"/>
      <protection locked="0"/>
    </xf>
    <xf numFmtId="175" fontId="1" fillId="45" borderId="55" xfId="0" applyNumberFormat="1" applyFont="1" applyFill="1" applyBorder="1" applyAlignment="1" applyProtection="1">
      <alignment horizontal="center" vertical="center"/>
      <protection locked="0"/>
    </xf>
    <xf numFmtId="175" fontId="2" fillId="0" borderId="10" xfId="0" applyNumberFormat="1" applyFont="1" applyFill="1" applyBorder="1" applyAlignment="1" applyProtection="1">
      <alignment horizontal="center" vertical="center"/>
      <protection locked="0"/>
    </xf>
    <xf numFmtId="175" fontId="2" fillId="0" borderId="10" xfId="0" applyNumberFormat="1" applyFont="1" applyFill="1" applyBorder="1" applyAlignment="1" applyProtection="1">
      <alignment horizontal="center" vertical="center"/>
      <protection locked="0"/>
    </xf>
    <xf numFmtId="175" fontId="7" fillId="0" borderId="34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NumberFormat="1" applyFont="1" applyBorder="1" applyAlignment="1" applyProtection="1">
      <alignment vertical="center" wrapText="1"/>
      <protection locked="0"/>
    </xf>
    <xf numFmtId="0" fontId="7" fillId="0" borderId="25" xfId="0" applyNumberFormat="1" applyFont="1" applyBorder="1" applyAlignment="1" applyProtection="1">
      <alignment vertical="center" wrapText="1"/>
      <protection locked="0"/>
    </xf>
    <xf numFmtId="0" fontId="2" fillId="0" borderId="25" xfId="0" applyNumberFormat="1" applyFont="1" applyBorder="1" applyAlignment="1" applyProtection="1">
      <alignment vertical="center" wrapText="1"/>
      <protection locked="0"/>
    </xf>
    <xf numFmtId="49" fontId="3" fillId="0" borderId="16" xfId="0" applyNumberFormat="1" applyFont="1" applyBorder="1" applyAlignment="1">
      <alignment horizontal="center" vertical="center" wrapText="1"/>
    </xf>
    <xf numFmtId="49" fontId="6" fillId="33" borderId="54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41" fillId="0" borderId="27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1" fillId="33" borderId="15" xfId="0" applyNumberFormat="1" applyFont="1" applyFill="1" applyBorder="1" applyAlignment="1">
      <alignment horizontal="center" vertical="center" wrapText="1"/>
    </xf>
    <xf numFmtId="49" fontId="6" fillId="33" borderId="28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32" xfId="0" applyNumberFormat="1" applyFont="1" applyBorder="1" applyAlignment="1" applyProtection="1">
      <alignment horizontal="center" vertical="center" wrapText="1"/>
      <protection locked="0"/>
    </xf>
    <xf numFmtId="0" fontId="2" fillId="38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/>
      <protection locked="0"/>
    </xf>
    <xf numFmtId="49" fontId="2" fillId="45" borderId="77" xfId="0" applyNumberFormat="1" applyFont="1" applyFill="1" applyBorder="1" applyAlignment="1" applyProtection="1">
      <alignment horizontal="center" vertical="center"/>
      <protection locked="0"/>
    </xf>
    <xf numFmtId="0" fontId="2" fillId="45" borderId="32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4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25" xfId="0" applyNumberFormat="1" applyFont="1" applyBorder="1" applyAlignment="1" applyProtection="1">
      <alignment vertical="center" wrapText="1"/>
      <protection locked="0"/>
    </xf>
    <xf numFmtId="49" fontId="7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" fillId="49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49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49" borderId="23" xfId="0" applyNumberFormat="1" applyFont="1" applyFill="1" applyBorder="1" applyAlignment="1" applyProtection="1">
      <alignment horizontal="center" vertical="center" wrapText="1"/>
      <protection locked="0"/>
    </xf>
    <xf numFmtId="49" fontId="2" fillId="45" borderId="55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32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41" xfId="0" applyNumberFormat="1" applyFont="1" applyFill="1" applyBorder="1" applyAlignment="1" applyProtection="1">
      <alignment horizontal="center" vertical="center" wrapText="1"/>
      <protection locked="0"/>
    </xf>
    <xf numFmtId="49" fontId="2" fillId="4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7" fillId="45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24" xfId="0" applyNumberFormat="1" applyFont="1" applyFill="1" applyBorder="1" applyAlignment="1" applyProtection="1">
      <alignment horizontal="left" vertical="center" wrapText="1"/>
      <protection locked="0"/>
    </xf>
    <xf numFmtId="49" fontId="2" fillId="49" borderId="22" xfId="0" applyNumberFormat="1" applyFont="1" applyFill="1" applyBorder="1" applyAlignment="1" applyProtection="1">
      <alignment horizontal="center" vertical="center"/>
      <protection locked="0"/>
    </xf>
    <xf numFmtId="0" fontId="7" fillId="49" borderId="23" xfId="0" applyNumberFormat="1" applyFont="1" applyFill="1" applyBorder="1" applyAlignment="1" applyProtection="1">
      <alignment horizontal="center" vertical="center" wrapText="1"/>
      <protection locked="0"/>
    </xf>
    <xf numFmtId="49" fontId="2" fillId="45" borderId="55" xfId="0" applyNumberFormat="1" applyFont="1" applyFill="1" applyBorder="1" applyAlignment="1" applyProtection="1">
      <alignment horizontal="center" vertical="center"/>
      <protection locked="0"/>
    </xf>
    <xf numFmtId="49" fontId="2" fillId="45" borderId="10" xfId="0" applyNumberFormat="1" applyFont="1" applyFill="1" applyBorder="1" applyAlignment="1" applyProtection="1">
      <alignment horizontal="center" vertical="center"/>
      <protection locked="0"/>
    </xf>
    <xf numFmtId="0" fontId="2" fillId="49" borderId="23" xfId="0" applyNumberFormat="1" applyFont="1" applyFill="1" applyBorder="1" applyAlignment="1" applyProtection="1">
      <alignment horizontal="center" vertical="center"/>
      <protection locked="0"/>
    </xf>
    <xf numFmtId="0" fontId="2" fillId="45" borderId="41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43" borderId="55" xfId="0" applyNumberFormat="1" applyFont="1" applyFill="1" applyBorder="1" applyAlignment="1" applyProtection="1">
      <alignment horizontal="center" vertical="center" wrapText="1"/>
      <protection locked="0"/>
    </xf>
    <xf numFmtId="0" fontId="2" fillId="43" borderId="32" xfId="0" applyNumberFormat="1" applyFont="1" applyFill="1" applyBorder="1" applyAlignment="1" applyProtection="1">
      <alignment horizontal="center" vertical="center" wrapText="1"/>
      <protection locked="0"/>
    </xf>
    <xf numFmtId="0" fontId="2" fillId="43" borderId="41" xfId="0" applyNumberFormat="1" applyFont="1" applyFill="1" applyBorder="1" applyAlignment="1" applyProtection="1">
      <alignment horizontal="center" vertical="center" wrapText="1"/>
      <protection locked="0"/>
    </xf>
    <xf numFmtId="49" fontId="2" fillId="49" borderId="22" xfId="0" applyNumberFormat="1" applyFont="1" applyFill="1" applyBorder="1" applyAlignment="1" applyProtection="1">
      <alignment horizontal="center" vertical="center"/>
      <protection locked="0"/>
    </xf>
    <xf numFmtId="0" fontId="2" fillId="49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49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4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8" fillId="0" borderId="59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34" xfId="0" applyNumberFormat="1" applyFont="1" applyFill="1" applyBorder="1" applyAlignment="1" applyProtection="1">
      <alignment horizontal="center" vertical="center"/>
      <protection locked="0"/>
    </xf>
    <xf numFmtId="49" fontId="2" fillId="49" borderId="53" xfId="0" applyNumberFormat="1" applyFont="1" applyFill="1" applyBorder="1" applyAlignment="1" applyProtection="1">
      <alignment horizontal="center" vertical="center"/>
      <protection locked="0"/>
    </xf>
    <xf numFmtId="49" fontId="2" fillId="45" borderId="56" xfId="0" applyNumberFormat="1" applyFont="1" applyFill="1" applyBorder="1" applyAlignment="1" applyProtection="1">
      <alignment horizontal="center" vertical="center"/>
      <protection locked="0"/>
    </xf>
    <xf numFmtId="0" fontId="2" fillId="45" borderId="8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0" applyNumberFormat="1" applyFont="1" applyBorder="1" applyAlignment="1" applyProtection="1">
      <alignment horizontal="center" vertical="center" wrapText="1"/>
      <protection locked="0"/>
    </xf>
    <xf numFmtId="0" fontId="2" fillId="49" borderId="48" xfId="0" applyNumberFormat="1" applyFont="1" applyFill="1" applyBorder="1" applyAlignment="1" applyProtection="1">
      <alignment horizontal="center" vertical="center" wrapText="1"/>
      <protection locked="0"/>
    </xf>
    <xf numFmtId="0" fontId="2" fillId="49" borderId="6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77" xfId="0" applyNumberFormat="1" applyFont="1" applyBorder="1" applyAlignment="1" applyProtection="1">
      <alignment horizontal="center" vertical="center"/>
      <protection locked="0"/>
    </xf>
    <xf numFmtId="0" fontId="2" fillId="0" borderId="37" xfId="0" applyNumberFormat="1" applyFont="1" applyBorder="1" applyAlignment="1" applyProtection="1">
      <alignment horizontal="center" vertical="center"/>
      <protection locked="0"/>
    </xf>
    <xf numFmtId="0" fontId="2" fillId="0" borderId="42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0" fontId="13" fillId="0" borderId="13" xfId="0" applyFont="1" applyBorder="1" applyAlignment="1">
      <alignment horizontal="center" wrapText="1"/>
    </xf>
    <xf numFmtId="175" fontId="16" fillId="0" borderId="13" xfId="0" applyNumberFormat="1" applyFont="1" applyBorder="1" applyAlignment="1">
      <alignment horizontal="center"/>
    </xf>
    <xf numFmtId="2" fontId="18" fillId="0" borderId="24" xfId="0" applyNumberFormat="1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9" fontId="15" fillId="0" borderId="20" xfId="0" applyNumberFormat="1" applyFont="1" applyBorder="1" applyAlignment="1">
      <alignment horizontal="center"/>
    </xf>
    <xf numFmtId="175" fontId="13" fillId="0" borderId="25" xfId="0" applyNumberFormat="1" applyFont="1" applyBorder="1" applyAlignment="1" applyProtection="1">
      <alignment horizontal="center"/>
      <protection locked="0"/>
    </xf>
    <xf numFmtId="175" fontId="18" fillId="0" borderId="25" xfId="0" applyNumberFormat="1" applyFont="1" applyBorder="1" applyAlignment="1" applyProtection="1">
      <alignment horizontal="center"/>
      <protection locked="0"/>
    </xf>
    <xf numFmtId="49" fontId="13" fillId="0" borderId="44" xfId="0" applyNumberFormat="1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175" fontId="13" fillId="0" borderId="24" xfId="0" applyNumberFormat="1" applyFont="1" applyBorder="1" applyAlignment="1" applyProtection="1">
      <alignment horizontal="center"/>
      <protection locked="0"/>
    </xf>
    <xf numFmtId="175" fontId="14" fillId="0" borderId="13" xfId="0" applyNumberFormat="1" applyFont="1" applyBorder="1" applyAlignment="1" applyProtection="1">
      <alignment horizontal="center"/>
      <protection locked="0"/>
    </xf>
    <xf numFmtId="175" fontId="18" fillId="0" borderId="45" xfId="0" applyNumberFormat="1" applyFont="1" applyBorder="1" applyAlignment="1" applyProtection="1">
      <alignment horizontal="center"/>
      <protection locked="0"/>
    </xf>
    <xf numFmtId="0" fontId="2" fillId="0" borderId="40" xfId="0" applyNumberFormat="1" applyFont="1" applyFill="1" applyBorder="1" applyAlignment="1" applyProtection="1">
      <alignment horizontal="left" wrapText="1" readingOrder="1"/>
      <protection locked="0"/>
    </xf>
    <xf numFmtId="0" fontId="7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2" xfId="0" applyNumberFormat="1" applyFont="1" applyFill="1" applyBorder="1" applyAlignment="1" applyProtection="1">
      <alignment horizontal="center" vertical="center"/>
      <protection locked="0"/>
    </xf>
    <xf numFmtId="0" fontId="9" fillId="0" borderId="42" xfId="0" applyNumberFormat="1" applyFont="1" applyFill="1" applyBorder="1" applyAlignment="1" applyProtection="1">
      <alignment horizontal="center" vertical="center"/>
      <protection locked="0"/>
    </xf>
    <xf numFmtId="0" fontId="7" fillId="0" borderId="38" xfId="0" applyNumberFormat="1" applyFont="1" applyFill="1" applyBorder="1" applyAlignment="1" applyProtection="1">
      <alignment horizontal="center" vertical="center"/>
      <protection locked="0"/>
    </xf>
    <xf numFmtId="175" fontId="2" fillId="0" borderId="77" xfId="0" applyNumberFormat="1" applyFont="1" applyFill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>
      <alignment horizontal="center" vertical="center" wrapText="1"/>
    </xf>
    <xf numFmtId="49" fontId="7" fillId="0" borderId="46" xfId="0" applyNumberFormat="1" applyFont="1" applyBorder="1" applyAlignment="1">
      <alignment horizontal="center" vertical="center"/>
    </xf>
    <xf numFmtId="0" fontId="2" fillId="0" borderId="44" xfId="0" applyNumberFormat="1" applyFont="1" applyBorder="1" applyAlignment="1" applyProtection="1">
      <alignment horizontal="left"/>
      <protection locked="0"/>
    </xf>
    <xf numFmtId="0" fontId="2" fillId="49" borderId="13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5" borderId="24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25" xfId="0" applyNumberFormat="1" applyFont="1" applyFill="1" applyBorder="1" applyAlignment="1" applyProtection="1">
      <alignment wrapText="1" readingOrder="1"/>
      <protection locked="0"/>
    </xf>
    <xf numFmtId="0" fontId="7" fillId="0" borderId="25" xfId="0" applyNumberFormat="1" applyFont="1" applyFill="1" applyBorder="1" applyAlignment="1" applyProtection="1">
      <alignment wrapText="1" readingOrder="1"/>
      <protection locked="0"/>
    </xf>
    <xf numFmtId="0" fontId="2" fillId="45" borderId="25" xfId="0" applyNumberFormat="1" applyFont="1" applyFill="1" applyBorder="1" applyAlignment="1" applyProtection="1">
      <alignment wrapText="1" readingOrder="1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5" borderId="24" xfId="0" applyNumberFormat="1" applyFont="1" applyFill="1" applyBorder="1" applyAlignment="1" applyProtection="1">
      <alignment wrapText="1" readingOrder="1"/>
      <protection locked="0"/>
    </xf>
    <xf numFmtId="0" fontId="2" fillId="45" borderId="25" xfId="0" applyNumberFormat="1" applyFont="1" applyFill="1" applyBorder="1" applyAlignment="1" applyProtection="1">
      <alignment vertical="center" wrapText="1"/>
      <protection locked="0"/>
    </xf>
    <xf numFmtId="0" fontId="52" fillId="0" borderId="40" xfId="0" applyNumberFormat="1" applyFont="1" applyBorder="1" applyAlignment="1" applyProtection="1">
      <alignment wrapText="1"/>
      <protection locked="0"/>
    </xf>
    <xf numFmtId="0" fontId="2" fillId="35" borderId="25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25" xfId="0" applyNumberFormat="1" applyFont="1" applyFill="1" applyBorder="1" applyAlignment="1" applyProtection="1">
      <alignment horizontal="left" wrapText="1" readingOrder="1"/>
      <protection locked="0"/>
    </xf>
    <xf numFmtId="0" fontId="2" fillId="35" borderId="25" xfId="0" applyNumberFormat="1" applyFont="1" applyFill="1" applyBorder="1" applyAlignment="1" applyProtection="1">
      <alignment horizontal="left" wrapText="1" readingOrder="1"/>
      <protection locked="0"/>
    </xf>
    <xf numFmtId="0" fontId="2" fillId="0" borderId="25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5" borderId="25" xfId="0" applyNumberFormat="1" applyFont="1" applyFill="1" applyBorder="1" applyAlignment="1" applyProtection="1">
      <alignment horizontal="left" vertical="center" wrapText="1"/>
      <protection locked="0"/>
    </xf>
    <xf numFmtId="0" fontId="2" fillId="49" borderId="13" xfId="0" applyNumberFormat="1" applyFont="1" applyFill="1" applyBorder="1" applyAlignment="1" applyProtection="1">
      <alignment wrapText="1" readingOrder="1"/>
      <protection locked="0"/>
    </xf>
    <xf numFmtId="0" fontId="7" fillId="0" borderId="45" xfId="0" applyNumberFormat="1" applyFont="1" applyFill="1" applyBorder="1" applyAlignment="1" applyProtection="1">
      <alignment wrapText="1" readingOrder="1"/>
      <protection locked="0"/>
    </xf>
    <xf numFmtId="0" fontId="2" fillId="0" borderId="13" xfId="0" applyNumberFormat="1" applyFont="1" applyBorder="1" applyAlignment="1" applyProtection="1">
      <alignment vertical="center" wrapText="1"/>
      <protection locked="0"/>
    </xf>
    <xf numFmtId="0" fontId="2" fillId="43" borderId="24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45" xfId="0" applyNumberFormat="1" applyFont="1" applyBorder="1" applyAlignment="1" applyProtection="1">
      <alignment vertical="center" wrapText="1"/>
      <protection locked="0"/>
    </xf>
    <xf numFmtId="0" fontId="2" fillId="49" borderId="13" xfId="0" applyNumberFormat="1" applyFont="1" applyFill="1" applyBorder="1" applyAlignment="1" applyProtection="1">
      <alignment vertical="center" wrapText="1"/>
      <protection locked="0"/>
    </xf>
    <xf numFmtId="0" fontId="2" fillId="45" borderId="40" xfId="0" applyNumberFormat="1" applyFont="1" applyFill="1" applyBorder="1" applyAlignment="1" applyProtection="1">
      <alignment vertical="center" wrapText="1"/>
      <protection locked="0"/>
    </xf>
    <xf numFmtId="0" fontId="7" fillId="0" borderId="14" xfId="0" applyNumberFormat="1" applyFont="1" applyBorder="1" applyAlignment="1" applyProtection="1">
      <alignment vertical="center" wrapText="1"/>
      <protection locked="0"/>
    </xf>
    <xf numFmtId="0" fontId="2" fillId="49" borderId="26" xfId="0" applyNumberFormat="1" applyFont="1" applyFill="1" applyBorder="1" applyAlignment="1" applyProtection="1">
      <alignment vertical="center" wrapText="1"/>
      <protection locked="0"/>
    </xf>
    <xf numFmtId="0" fontId="2" fillId="45" borderId="24" xfId="0" applyNumberFormat="1" applyFont="1" applyFill="1" applyBorder="1" applyAlignment="1" applyProtection="1">
      <alignment vertical="center" wrapText="1"/>
      <protection locked="0"/>
    </xf>
    <xf numFmtId="0" fontId="7" fillId="0" borderId="47" xfId="0" applyNumberFormat="1" applyFont="1" applyBorder="1" applyAlignment="1" applyProtection="1">
      <alignment vertical="center" wrapText="1"/>
      <protection locked="0"/>
    </xf>
    <xf numFmtId="0" fontId="7" fillId="0" borderId="35" xfId="0" applyNumberFormat="1" applyFont="1" applyBorder="1" applyAlignment="1" applyProtection="1">
      <alignment horizontal="center" vertical="center" wrapText="1"/>
      <protection locked="0"/>
    </xf>
    <xf numFmtId="0" fontId="7" fillId="0" borderId="58" xfId="0" applyNumberFormat="1" applyFont="1" applyBorder="1" applyAlignment="1" applyProtection="1">
      <alignment horizontal="center" vertical="center" wrapText="1"/>
      <protection locked="0"/>
    </xf>
    <xf numFmtId="173" fontId="14" fillId="0" borderId="22" xfId="0" applyNumberFormat="1" applyFont="1" applyBorder="1" applyAlignment="1" applyProtection="1">
      <alignment horizontal="center"/>
      <protection locked="0"/>
    </xf>
    <xf numFmtId="173" fontId="14" fillId="0" borderId="50" xfId="0" applyNumberFormat="1" applyFont="1" applyBorder="1" applyAlignment="1" applyProtection="1">
      <alignment horizontal="center"/>
      <protection locked="0"/>
    </xf>
    <xf numFmtId="173" fontId="13" fillId="0" borderId="55" xfId="0" applyNumberFormat="1" applyFont="1" applyBorder="1" applyAlignment="1">
      <alignment horizontal="center"/>
    </xf>
    <xf numFmtId="173" fontId="13" fillId="0" borderId="83" xfId="0" applyNumberFormat="1" applyFont="1" applyBorder="1" applyAlignment="1">
      <alignment horizontal="center"/>
    </xf>
    <xf numFmtId="173" fontId="13" fillId="0" borderId="10" xfId="0" applyNumberFormat="1" applyFont="1" applyBorder="1" applyAlignment="1">
      <alignment horizontal="center"/>
    </xf>
    <xf numFmtId="173" fontId="13" fillId="0" borderId="71" xfId="0" applyNumberFormat="1" applyFont="1" applyBorder="1" applyAlignment="1">
      <alignment horizontal="center"/>
    </xf>
    <xf numFmtId="173" fontId="13" fillId="0" borderId="10" xfId="0" applyNumberFormat="1" applyFont="1" applyBorder="1" applyAlignment="1" applyProtection="1">
      <alignment horizontal="center"/>
      <protection locked="0"/>
    </xf>
    <xf numFmtId="173" fontId="13" fillId="0" borderId="71" xfId="0" applyNumberFormat="1" applyFont="1" applyBorder="1" applyAlignment="1" applyProtection="1">
      <alignment horizontal="center"/>
      <protection locked="0"/>
    </xf>
    <xf numFmtId="173" fontId="18" fillId="0" borderId="10" xfId="0" applyNumberFormat="1" applyFont="1" applyBorder="1" applyAlignment="1">
      <alignment horizontal="center"/>
    </xf>
    <xf numFmtId="173" fontId="18" fillId="0" borderId="71" xfId="0" applyNumberFormat="1" applyFont="1" applyBorder="1" applyAlignment="1">
      <alignment horizontal="center"/>
    </xf>
    <xf numFmtId="173" fontId="12" fillId="0" borderId="59" xfId="0" applyNumberFormat="1" applyFont="1" applyBorder="1" applyAlignment="1">
      <alignment horizontal="center"/>
    </xf>
    <xf numFmtId="173" fontId="12" fillId="0" borderId="84" xfId="0" applyNumberFormat="1" applyFont="1" applyBorder="1" applyAlignment="1">
      <alignment horizontal="center"/>
    </xf>
    <xf numFmtId="173" fontId="13" fillId="0" borderId="33" xfId="0" applyNumberFormat="1" applyFont="1" applyBorder="1" applyAlignment="1">
      <alignment horizontal="center"/>
    </xf>
    <xf numFmtId="173" fontId="13" fillId="0" borderId="75" xfId="0" applyNumberFormat="1" applyFont="1" applyBorder="1" applyAlignment="1">
      <alignment horizontal="center"/>
    </xf>
    <xf numFmtId="173" fontId="7" fillId="0" borderId="10" xfId="0" applyNumberFormat="1" applyFont="1" applyBorder="1" applyAlignment="1">
      <alignment horizontal="center"/>
    </xf>
    <xf numFmtId="173" fontId="7" fillId="0" borderId="71" xfId="0" applyNumberFormat="1" applyFont="1" applyBorder="1" applyAlignment="1">
      <alignment horizontal="center"/>
    </xf>
    <xf numFmtId="173" fontId="2" fillId="0" borderId="77" xfId="0" applyNumberFormat="1" applyFont="1" applyBorder="1" applyAlignment="1" applyProtection="1">
      <alignment horizontal="center"/>
      <protection locked="0"/>
    </xf>
    <xf numFmtId="173" fontId="2" fillId="0" borderId="85" xfId="0" applyNumberFormat="1" applyFont="1" applyBorder="1" applyAlignment="1" applyProtection="1">
      <alignment horizontal="center"/>
      <protection locked="0"/>
    </xf>
    <xf numFmtId="173" fontId="2" fillId="49" borderId="22" xfId="0" applyNumberFormat="1" applyFont="1" applyFill="1" applyBorder="1" applyAlignment="1" applyProtection="1">
      <alignment horizontal="center" vertical="center"/>
      <protection locked="0"/>
    </xf>
    <xf numFmtId="173" fontId="2" fillId="49" borderId="50" xfId="0" applyNumberFormat="1" applyFont="1" applyFill="1" applyBorder="1" applyAlignment="1" applyProtection="1">
      <alignment horizontal="center" vertical="center"/>
      <protection locked="0"/>
    </xf>
    <xf numFmtId="173" fontId="2" fillId="45" borderId="55" xfId="0" applyNumberFormat="1" applyFont="1" applyFill="1" applyBorder="1" applyAlignment="1" applyProtection="1">
      <alignment horizontal="center" vertical="center"/>
      <protection locked="0"/>
    </xf>
    <xf numFmtId="173" fontId="2" fillId="45" borderId="83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71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Border="1" applyAlignment="1">
      <alignment horizontal="center" vertical="center"/>
    </xf>
    <xf numFmtId="173" fontId="7" fillId="0" borderId="71" xfId="0" applyNumberFormat="1" applyFont="1" applyBorder="1" applyAlignment="1">
      <alignment horizontal="center" vertical="center"/>
    </xf>
    <xf numFmtId="173" fontId="2" fillId="45" borderId="10" xfId="0" applyNumberFormat="1" applyFont="1" applyFill="1" applyBorder="1" applyAlignment="1" applyProtection="1">
      <alignment horizontal="center" vertical="center"/>
      <protection locked="0"/>
    </xf>
    <xf numFmtId="173" fontId="2" fillId="45" borderId="71" xfId="0" applyNumberFormat="1" applyFont="1" applyFill="1" applyBorder="1" applyAlignment="1" applyProtection="1">
      <alignment horizontal="center" vertical="center"/>
      <protection locked="0"/>
    </xf>
    <xf numFmtId="173" fontId="0" fillId="0" borderId="10" xfId="0" applyNumberFormat="1" applyBorder="1" applyAlignment="1">
      <alignment/>
    </xf>
    <xf numFmtId="173" fontId="0" fillId="0" borderId="71" xfId="0" applyNumberFormat="1" applyBorder="1" applyAlignment="1">
      <alignment/>
    </xf>
    <xf numFmtId="173" fontId="2" fillId="0" borderId="22" xfId="0" applyNumberFormat="1" applyFont="1" applyFill="1" applyBorder="1" applyAlignment="1" applyProtection="1">
      <alignment horizontal="center" vertical="center"/>
      <protection locked="0"/>
    </xf>
    <xf numFmtId="173" fontId="2" fillId="0" borderId="50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71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71" xfId="0" applyNumberFormat="1" applyFont="1" applyFill="1" applyBorder="1" applyAlignment="1" applyProtection="1">
      <alignment horizontal="center" vertical="center"/>
      <protection locked="0"/>
    </xf>
    <xf numFmtId="173" fontId="2" fillId="0" borderId="59" xfId="0" applyNumberFormat="1" applyFont="1" applyFill="1" applyBorder="1" applyAlignment="1" applyProtection="1">
      <alignment horizontal="center" vertical="center"/>
      <protection locked="0"/>
    </xf>
    <xf numFmtId="173" fontId="2" fillId="0" borderId="84" xfId="0" applyNumberFormat="1" applyFont="1" applyFill="1" applyBorder="1" applyAlignment="1" applyProtection="1">
      <alignment horizontal="center" vertical="center"/>
      <protection locked="0"/>
    </xf>
    <xf numFmtId="173" fontId="2" fillId="49" borderId="53" xfId="0" applyNumberFormat="1" applyFont="1" applyFill="1" applyBorder="1" applyAlignment="1" applyProtection="1">
      <alignment horizontal="center" vertical="center"/>
      <protection locked="0"/>
    </xf>
    <xf numFmtId="173" fontId="2" fillId="49" borderId="86" xfId="0" applyNumberFormat="1" applyFont="1" applyFill="1" applyBorder="1" applyAlignment="1" applyProtection="1">
      <alignment horizontal="center" vertical="center"/>
      <protection locked="0"/>
    </xf>
    <xf numFmtId="173" fontId="2" fillId="0" borderId="55" xfId="0" applyNumberFormat="1" applyFont="1" applyFill="1" applyBorder="1" applyAlignment="1" applyProtection="1">
      <alignment horizontal="center" vertical="center"/>
      <protection locked="0"/>
    </xf>
    <xf numFmtId="173" fontId="2" fillId="0" borderId="83" xfId="0" applyNumberFormat="1" applyFont="1" applyFill="1" applyBorder="1" applyAlignment="1" applyProtection="1">
      <alignment horizontal="center" vertical="center"/>
      <protection locked="0"/>
    </xf>
    <xf numFmtId="173" fontId="2" fillId="35" borderId="10" xfId="0" applyNumberFormat="1" applyFont="1" applyFill="1" applyBorder="1" applyAlignment="1" applyProtection="1">
      <alignment horizontal="center" vertical="center"/>
      <protection locked="0"/>
    </xf>
    <xf numFmtId="173" fontId="2" fillId="35" borderId="71" xfId="0" applyNumberFormat="1" applyFont="1" applyFill="1" applyBorder="1" applyAlignment="1" applyProtection="1">
      <alignment horizontal="center" vertical="center"/>
      <protection locked="0"/>
    </xf>
    <xf numFmtId="173" fontId="2" fillId="49" borderId="56" xfId="0" applyNumberFormat="1" applyFont="1" applyFill="1" applyBorder="1" applyAlignment="1" applyProtection="1">
      <alignment horizontal="center" vertical="center"/>
      <protection locked="0"/>
    </xf>
    <xf numFmtId="173" fontId="2" fillId="49" borderId="72" xfId="0" applyNumberFormat="1" applyFont="1" applyFill="1" applyBorder="1" applyAlignment="1" applyProtection="1">
      <alignment horizontal="center" vertical="center"/>
      <protection locked="0"/>
    </xf>
    <xf numFmtId="173" fontId="2" fillId="45" borderId="33" xfId="0" applyNumberFormat="1" applyFont="1" applyFill="1" applyBorder="1" applyAlignment="1" applyProtection="1">
      <alignment horizontal="center" vertical="center"/>
      <protection locked="0"/>
    </xf>
    <xf numFmtId="173" fontId="2" fillId="45" borderId="75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71" xfId="0" applyNumberFormat="1" applyFont="1" applyFill="1" applyBorder="1" applyAlignment="1" applyProtection="1">
      <alignment horizontal="center" vertical="center"/>
      <protection locked="0"/>
    </xf>
    <xf numFmtId="173" fontId="2" fillId="49" borderId="53" xfId="0" applyNumberFormat="1" applyFont="1" applyFill="1" applyBorder="1" applyAlignment="1" applyProtection="1">
      <alignment horizontal="center" vertical="center"/>
      <protection locked="0"/>
    </xf>
    <xf numFmtId="173" fontId="2" fillId="49" borderId="86" xfId="0" applyNumberFormat="1" applyFont="1" applyFill="1" applyBorder="1" applyAlignment="1" applyProtection="1">
      <alignment horizontal="center" vertical="center"/>
      <protection locked="0"/>
    </xf>
    <xf numFmtId="173" fontId="2" fillId="45" borderId="55" xfId="0" applyNumberFormat="1" applyFont="1" applyFill="1" applyBorder="1" applyAlignment="1" applyProtection="1">
      <alignment horizontal="center" vertical="center"/>
      <protection locked="0"/>
    </xf>
    <xf numFmtId="173" fontId="2" fillId="45" borderId="83" xfId="0" applyNumberFormat="1" applyFont="1" applyFill="1" applyBorder="1" applyAlignment="1" applyProtection="1">
      <alignment horizontal="center" vertical="center"/>
      <protection locked="0"/>
    </xf>
    <xf numFmtId="173" fontId="7" fillId="0" borderId="34" xfId="0" applyNumberFormat="1" applyFont="1" applyBorder="1" applyAlignment="1">
      <alignment horizontal="center" vertical="center"/>
    </xf>
    <xf numFmtId="173" fontId="7" fillId="0" borderId="74" xfId="0" applyNumberFormat="1" applyFont="1" applyBorder="1" applyAlignment="1">
      <alignment horizontal="center" vertical="center"/>
    </xf>
    <xf numFmtId="173" fontId="16" fillId="0" borderId="22" xfId="0" applyNumberFormat="1" applyFont="1" applyBorder="1" applyAlignment="1">
      <alignment horizontal="center"/>
    </xf>
    <xf numFmtId="173" fontId="16" fillId="0" borderId="50" xfId="0" applyNumberFormat="1" applyFont="1" applyBorder="1" applyAlignment="1">
      <alignment horizontal="center"/>
    </xf>
    <xf numFmtId="173" fontId="18" fillId="0" borderId="55" xfId="0" applyNumberFormat="1" applyFont="1" applyBorder="1" applyAlignment="1">
      <alignment horizontal="center"/>
    </xf>
    <xf numFmtId="173" fontId="18" fillId="0" borderId="83" xfId="0" applyNumberFormat="1" applyFont="1" applyBorder="1" applyAlignment="1">
      <alignment horizontal="center"/>
    </xf>
    <xf numFmtId="173" fontId="16" fillId="0" borderId="10" xfId="0" applyNumberFormat="1" applyFont="1" applyBorder="1" applyAlignment="1">
      <alignment horizontal="center"/>
    </xf>
    <xf numFmtId="173" fontId="16" fillId="0" borderId="71" xfId="0" applyNumberFormat="1" applyFont="1" applyBorder="1" applyAlignment="1">
      <alignment horizontal="center"/>
    </xf>
    <xf numFmtId="173" fontId="18" fillId="0" borderId="34" xfId="0" applyNumberFormat="1" applyFont="1" applyBorder="1" applyAlignment="1">
      <alignment horizontal="center"/>
    </xf>
    <xf numFmtId="173" fontId="18" fillId="0" borderId="74" xfId="0" applyNumberFormat="1" applyFont="1" applyBorder="1" applyAlignment="1">
      <alignment horizontal="center"/>
    </xf>
    <xf numFmtId="0" fontId="14" fillId="0" borderId="16" xfId="0" applyFont="1" applyBorder="1" applyAlignment="1">
      <alignment horizontal="left" vertical="top" wrapText="1"/>
    </xf>
    <xf numFmtId="49" fontId="14" fillId="0" borderId="39" xfId="0" applyNumberFormat="1" applyFont="1" applyBorder="1" applyAlignment="1">
      <alignment horizontal="left"/>
    </xf>
    <xf numFmtId="0" fontId="13" fillId="0" borderId="31" xfId="0" applyFont="1" applyBorder="1" applyAlignment="1">
      <alignment horizontal="left" vertical="top" wrapText="1"/>
    </xf>
    <xf numFmtId="0" fontId="13" fillId="0" borderId="78" xfId="0" applyFont="1" applyBorder="1" applyAlignment="1">
      <alignment horizontal="left" vertical="top" wrapText="1"/>
    </xf>
    <xf numFmtId="0" fontId="12" fillId="0" borderId="78" xfId="0" applyFont="1" applyBorder="1" applyAlignment="1">
      <alignment horizontal="left" vertical="top" wrapText="1"/>
    </xf>
    <xf numFmtId="0" fontId="12" fillId="0" borderId="78" xfId="0" applyFont="1" applyBorder="1" applyAlignment="1">
      <alignment vertical="top" wrapText="1"/>
    </xf>
    <xf numFmtId="0" fontId="12" fillId="0" borderId="54" xfId="0" applyFont="1" applyBorder="1" applyAlignment="1">
      <alignment vertical="top" wrapText="1"/>
    </xf>
    <xf numFmtId="0" fontId="7" fillId="0" borderId="85" xfId="0" applyNumberFormat="1" applyFont="1" applyFill="1" applyBorder="1" applyAlignment="1" applyProtection="1">
      <alignment horizontal="center" vertical="center"/>
      <protection locked="0"/>
    </xf>
    <xf numFmtId="0" fontId="14" fillId="0" borderId="16" xfId="0" applyFont="1" applyBorder="1" applyAlignment="1">
      <alignment horizontal="left" vertical="top" wrapText="1"/>
    </xf>
    <xf numFmtId="0" fontId="14" fillId="0" borderId="31" xfId="0" applyFont="1" applyBorder="1" applyAlignment="1">
      <alignment horizontal="left" vertical="top" wrapText="1"/>
    </xf>
    <xf numFmtId="0" fontId="14" fillId="0" borderId="78" xfId="0" applyFont="1" applyBorder="1" applyAlignment="1">
      <alignment horizontal="left" vertical="top" wrapText="1"/>
    </xf>
    <xf numFmtId="0" fontId="14" fillId="0" borderId="78" xfId="0" applyFont="1" applyFill="1" applyBorder="1" applyAlignment="1">
      <alignment horizontal="left" vertical="top" wrapText="1"/>
    </xf>
    <xf numFmtId="0" fontId="32" fillId="0" borderId="78" xfId="0" applyFont="1" applyBorder="1" applyAlignment="1">
      <alignment horizontal="left"/>
    </xf>
    <xf numFmtId="0" fontId="32" fillId="0" borderId="60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70" xfId="0" applyNumberFormat="1" applyFont="1" applyBorder="1" applyAlignment="1">
      <alignment horizontal="center" vertical="center"/>
    </xf>
    <xf numFmtId="0" fontId="2" fillId="0" borderId="82" xfId="0" applyNumberFormat="1" applyFont="1" applyBorder="1" applyAlignment="1" applyProtection="1">
      <alignment horizontal="center" vertical="center"/>
      <protection locked="0"/>
    </xf>
    <xf numFmtId="0" fontId="2" fillId="49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7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0" applyNumberFormat="1" applyFont="1" applyBorder="1" applyAlignment="1" applyProtection="1">
      <alignment horizontal="center" vertical="center" wrapText="1"/>
      <protection locked="0"/>
    </xf>
    <xf numFmtId="0" fontId="7" fillId="0" borderId="21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0" applyNumberFormat="1" applyFont="1" applyBorder="1" applyAlignment="1" applyProtection="1">
      <alignment horizontal="center" vertical="center" wrapText="1"/>
      <protection locked="0"/>
    </xf>
    <xf numFmtId="0" fontId="2" fillId="45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NumberFormat="1" applyFont="1" applyFill="1" applyBorder="1" applyAlignment="1" applyProtection="1">
      <alignment/>
      <protection locked="0"/>
    </xf>
    <xf numFmtId="0" fontId="2" fillId="0" borderId="21" xfId="0" applyNumberFormat="1" applyFont="1" applyBorder="1" applyAlignment="1" applyProtection="1">
      <alignment horizontal="center" vertical="center" wrapText="1"/>
      <protection locked="0"/>
    </xf>
    <xf numFmtId="0" fontId="9" fillId="49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45" borderId="7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0" xfId="0" applyNumberFormat="1" applyFont="1" applyBorder="1" applyAlignment="1" applyProtection="1">
      <alignment horizontal="center" vertical="center" wrapText="1"/>
      <protection locked="0"/>
    </xf>
    <xf numFmtId="0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0" xfId="0" applyNumberFormat="1" applyFont="1" applyFill="1" applyBorder="1" applyAlignment="1" applyProtection="1">
      <alignment horizontal="center" vertical="center"/>
      <protection locked="0"/>
    </xf>
    <xf numFmtId="0" fontId="2" fillId="35" borderId="70" xfId="0" applyNumberFormat="1" applyFont="1" applyFill="1" applyBorder="1" applyAlignment="1" applyProtection="1">
      <alignment horizontal="center" vertical="center"/>
      <protection locked="0"/>
    </xf>
    <xf numFmtId="0" fontId="7" fillId="49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9" fillId="45" borderId="70" xfId="0" applyNumberFormat="1" applyFont="1" applyFill="1" applyBorder="1" applyAlignment="1" applyProtection="1">
      <alignment horizontal="center" vertical="center" wrapText="1"/>
      <protection locked="0"/>
    </xf>
    <xf numFmtId="0" fontId="9" fillId="45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49" borderId="18" xfId="0" applyNumberFormat="1" applyFont="1" applyFill="1" applyBorder="1" applyAlignment="1" applyProtection="1">
      <alignment horizontal="center" vertical="center"/>
      <protection locked="0"/>
    </xf>
    <xf numFmtId="0" fontId="2" fillId="45" borderId="70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43" borderId="70" xfId="0" applyNumberFormat="1" applyFont="1" applyFill="1" applyBorder="1" applyAlignment="1" applyProtection="1">
      <alignment horizontal="center" vertical="center" wrapText="1"/>
      <protection locked="0"/>
    </xf>
    <xf numFmtId="0" fontId="7" fillId="42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 applyProtection="1">
      <alignment horizontal="center" vertical="center" wrapText="1"/>
      <protection locked="0"/>
    </xf>
    <xf numFmtId="0" fontId="2" fillId="49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49" borderId="65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7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3" xfId="0" applyNumberFormat="1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>
      <alignment horizontal="center" wrapText="1"/>
    </xf>
    <xf numFmtId="0" fontId="7" fillId="0" borderId="31" xfId="0" applyFont="1" applyBorder="1" applyAlignment="1">
      <alignment horizontal="center"/>
    </xf>
    <xf numFmtId="175" fontId="2" fillId="0" borderId="0" xfId="0" applyNumberFormat="1" applyFont="1" applyBorder="1" applyAlignment="1" applyProtection="1">
      <alignment horizontal="center"/>
      <protection locked="0"/>
    </xf>
    <xf numFmtId="175" fontId="2" fillId="49" borderId="16" xfId="0" applyNumberFormat="1" applyFont="1" applyFill="1" applyBorder="1" applyAlignment="1" applyProtection="1">
      <alignment horizontal="center" vertical="center"/>
      <protection locked="0"/>
    </xf>
    <xf numFmtId="175" fontId="2" fillId="45" borderId="31" xfId="0" applyNumberFormat="1" applyFont="1" applyFill="1" applyBorder="1" applyAlignment="1" applyProtection="1">
      <alignment horizontal="center" vertical="center"/>
      <protection locked="0"/>
    </xf>
    <xf numFmtId="175" fontId="2" fillId="0" borderId="78" xfId="0" applyNumberFormat="1" applyFont="1" applyFill="1" applyBorder="1" applyAlignment="1" applyProtection="1">
      <alignment horizontal="center" vertical="center"/>
      <protection locked="0"/>
    </xf>
    <xf numFmtId="175" fontId="7" fillId="0" borderId="78" xfId="0" applyNumberFormat="1" applyFont="1" applyFill="1" applyBorder="1" applyAlignment="1" applyProtection="1">
      <alignment horizontal="center" vertical="center"/>
      <protection locked="0"/>
    </xf>
    <xf numFmtId="175" fontId="2" fillId="45" borderId="78" xfId="0" applyNumberFormat="1" applyFont="1" applyFill="1" applyBorder="1" applyAlignment="1" applyProtection="1">
      <alignment horizontal="center" vertical="center"/>
      <protection locked="0"/>
    </xf>
    <xf numFmtId="175" fontId="7" fillId="0" borderId="78" xfId="0" applyNumberFormat="1" applyFont="1" applyFill="1" applyBorder="1" applyAlignment="1" applyProtection="1">
      <alignment horizontal="center" vertical="center"/>
      <protection locked="0"/>
    </xf>
    <xf numFmtId="175" fontId="7" fillId="0" borderId="54" xfId="0" applyNumberFormat="1" applyFont="1" applyFill="1" applyBorder="1" applyAlignment="1" applyProtection="1">
      <alignment horizontal="center" vertical="center"/>
      <protection locked="0"/>
    </xf>
    <xf numFmtId="175" fontId="2" fillId="0" borderId="16" xfId="0" applyNumberFormat="1" applyFont="1" applyFill="1" applyBorder="1" applyAlignment="1" applyProtection="1">
      <alignment horizontal="center" vertical="center"/>
      <protection locked="0"/>
    </xf>
    <xf numFmtId="175" fontId="2" fillId="0" borderId="78" xfId="0" applyNumberFormat="1" applyFont="1" applyFill="1" applyBorder="1" applyAlignment="1" applyProtection="1">
      <alignment horizontal="center" vertical="center"/>
      <protection locked="0"/>
    </xf>
    <xf numFmtId="175" fontId="2" fillId="0" borderId="54" xfId="0" applyNumberFormat="1" applyFont="1" applyFill="1" applyBorder="1" applyAlignment="1" applyProtection="1">
      <alignment horizontal="center" vertical="center"/>
      <protection locked="0"/>
    </xf>
    <xf numFmtId="175" fontId="2" fillId="49" borderId="43" xfId="0" applyNumberFormat="1" applyFont="1" applyFill="1" applyBorder="1" applyAlignment="1" applyProtection="1">
      <alignment horizontal="center" vertical="center"/>
      <protection locked="0"/>
    </xf>
    <xf numFmtId="175" fontId="2" fillId="0" borderId="31" xfId="0" applyNumberFormat="1" applyFont="1" applyFill="1" applyBorder="1" applyAlignment="1" applyProtection="1">
      <alignment horizontal="center" vertical="center"/>
      <protection locked="0"/>
    </xf>
    <xf numFmtId="175" fontId="7" fillId="0" borderId="54" xfId="0" applyNumberFormat="1" applyFont="1" applyFill="1" applyBorder="1" applyAlignment="1" applyProtection="1">
      <alignment horizontal="center" vertical="center"/>
      <protection locked="0"/>
    </xf>
    <xf numFmtId="175" fontId="2" fillId="35" borderId="78" xfId="0" applyNumberFormat="1" applyFont="1" applyFill="1" applyBorder="1" applyAlignment="1" applyProtection="1">
      <alignment horizontal="center" vertical="center"/>
      <protection locked="0"/>
    </xf>
    <xf numFmtId="175" fontId="2" fillId="0" borderId="16" xfId="0" applyNumberFormat="1" applyFont="1" applyFill="1" applyBorder="1" applyAlignment="1" applyProtection="1">
      <alignment horizontal="center" vertical="center"/>
      <protection locked="0"/>
    </xf>
    <xf numFmtId="175" fontId="2" fillId="43" borderId="31" xfId="0" applyNumberFormat="1" applyFont="1" applyFill="1" applyBorder="1" applyAlignment="1" applyProtection="1">
      <alignment horizontal="center" vertical="center"/>
      <protection locked="0"/>
    </xf>
    <xf numFmtId="175" fontId="2" fillId="49" borderId="39" xfId="0" applyNumberFormat="1" applyFont="1" applyFill="1" applyBorder="1" applyAlignment="1" applyProtection="1">
      <alignment horizontal="center" vertical="center"/>
      <protection locked="0"/>
    </xf>
    <xf numFmtId="175" fontId="2" fillId="45" borderId="79" xfId="0" applyNumberFormat="1" applyFont="1" applyFill="1" applyBorder="1" applyAlignment="1" applyProtection="1">
      <alignment horizontal="center" vertical="center"/>
      <protection locked="0"/>
    </xf>
    <xf numFmtId="175" fontId="7" fillId="0" borderId="60" xfId="0" applyNumberFormat="1" applyFont="1" applyFill="1" applyBorder="1" applyAlignment="1" applyProtection="1">
      <alignment horizontal="center" vertical="center"/>
      <protection locked="0"/>
    </xf>
    <xf numFmtId="175" fontId="2" fillId="49" borderId="43" xfId="0" applyNumberFormat="1" applyFont="1" applyFill="1" applyBorder="1" applyAlignment="1" applyProtection="1">
      <alignment horizontal="center" vertical="center"/>
      <protection locked="0"/>
    </xf>
    <xf numFmtId="175" fontId="2" fillId="45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2" fillId="49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/>
      <protection locked="0"/>
    </xf>
    <xf numFmtId="0" fontId="9" fillId="49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5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49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45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9" borderId="11" xfId="0" applyNumberFormat="1" applyFont="1" applyFill="1" applyBorder="1" applyAlignment="1" applyProtection="1">
      <alignment horizontal="center" vertical="center"/>
      <protection locked="0"/>
    </xf>
    <xf numFmtId="0" fontId="2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2" borderId="11" xfId="0" applyNumberFormat="1" applyFont="1" applyFill="1" applyBorder="1" applyAlignment="1" applyProtection="1">
      <alignment horizontal="center" vertical="center"/>
      <protection locked="0"/>
    </xf>
    <xf numFmtId="0" fontId="2" fillId="49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8" xfId="0" applyFont="1" applyBorder="1" applyAlignment="1">
      <alignment horizontal="center" vertical="center" wrapText="1"/>
    </xf>
    <xf numFmtId="173" fontId="1" fillId="40" borderId="78" xfId="0" applyNumberFormat="1" applyFont="1" applyFill="1" applyBorder="1" applyAlignment="1">
      <alignment horizontal="center" vertical="center" wrapText="1"/>
    </xf>
    <xf numFmtId="173" fontId="9" fillId="0" borderId="71" xfId="0" applyNumberFormat="1" applyFont="1" applyBorder="1" applyAlignment="1">
      <alignment horizontal="center" vertical="center" wrapText="1"/>
    </xf>
    <xf numFmtId="173" fontId="6" fillId="0" borderId="22" xfId="0" applyNumberFormat="1" applyFont="1" applyBorder="1" applyAlignment="1">
      <alignment horizontal="center" vertical="center" wrapText="1"/>
    </xf>
    <xf numFmtId="173" fontId="6" fillId="0" borderId="16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52" fillId="0" borderId="40" xfId="0" applyFont="1" applyBorder="1" applyAlignment="1" applyProtection="1">
      <alignment wrapText="1"/>
      <protection locked="0"/>
    </xf>
    <xf numFmtId="49" fontId="2" fillId="50" borderId="25" xfId="0" applyNumberFormat="1" applyFont="1" applyFill="1" applyBorder="1" applyAlignment="1">
      <alignment horizontal="left" vertical="center" wrapText="1" readingOrder="1"/>
    </xf>
    <xf numFmtId="49" fontId="2" fillId="50" borderId="10" xfId="0" applyNumberFormat="1" applyFont="1" applyFill="1" applyBorder="1" applyAlignment="1">
      <alignment horizontal="left" vertical="center" wrapText="1" readingOrder="1"/>
    </xf>
    <xf numFmtId="0" fontId="1" fillId="40" borderId="14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wrapText="1" readingOrder="1"/>
      <protection locked="0"/>
    </xf>
    <xf numFmtId="0" fontId="7" fillId="0" borderId="54" xfId="0" applyFont="1" applyBorder="1" applyAlignment="1">
      <alignment vertical="center" wrapText="1"/>
    </xf>
    <xf numFmtId="0" fontId="10" fillId="50" borderId="11" xfId="0" applyFont="1" applyFill="1" applyBorder="1" applyAlignment="1">
      <alignment horizontal="center" vertical="center" wrapText="1"/>
    </xf>
    <xf numFmtId="0" fontId="10" fillId="50" borderId="17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82" xfId="0" applyFont="1" applyBorder="1" applyAlignment="1">
      <alignment horizontal="center" vertical="center" wrapText="1"/>
    </xf>
    <xf numFmtId="0" fontId="1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4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>
      <alignment horizontal="center" vertical="center" wrapText="1"/>
    </xf>
    <xf numFmtId="173" fontId="26" fillId="0" borderId="10" xfId="0" applyNumberFormat="1" applyFont="1" applyBorder="1" applyAlignment="1">
      <alignment horizontal="center" vertical="center" wrapText="1"/>
    </xf>
    <xf numFmtId="173" fontId="26" fillId="0" borderId="25" xfId="0" applyNumberFormat="1" applyFont="1" applyBorder="1" applyAlignment="1">
      <alignment horizontal="center" vertical="center" wrapText="1"/>
    </xf>
    <xf numFmtId="173" fontId="26" fillId="0" borderId="78" xfId="0" applyNumberFormat="1" applyFont="1" applyBorder="1" applyAlignment="1">
      <alignment horizontal="center" vertical="center" wrapText="1"/>
    </xf>
    <xf numFmtId="173" fontId="0" fillId="0" borderId="78" xfId="0" applyNumberFormat="1" applyFont="1" applyBorder="1" applyAlignment="1">
      <alignment horizontal="center" vertical="center" wrapText="1"/>
    </xf>
    <xf numFmtId="0" fontId="127" fillId="40" borderId="55" xfId="0" applyFont="1" applyFill="1" applyBorder="1" applyAlignment="1">
      <alignment horizontal="center" vertical="center" wrapText="1"/>
    </xf>
    <xf numFmtId="0" fontId="127" fillId="40" borderId="79" xfId="0" applyFont="1" applyFill="1" applyBorder="1" applyAlignment="1">
      <alignment horizontal="center" vertical="center" wrapText="1"/>
    </xf>
    <xf numFmtId="0" fontId="127" fillId="40" borderId="33" xfId="0" applyFont="1" applyFill="1" applyBorder="1" applyAlignment="1">
      <alignment horizontal="center" vertical="center" wrapText="1"/>
    </xf>
    <xf numFmtId="0" fontId="127" fillId="0" borderId="10" xfId="0" applyFont="1" applyBorder="1" applyAlignment="1">
      <alignment horizontal="center" vertical="center" wrapText="1"/>
    </xf>
    <xf numFmtId="0" fontId="128" fillId="0" borderId="10" xfId="0" applyFont="1" applyBorder="1" applyAlignment="1">
      <alignment horizontal="center" vertical="center" wrapText="1"/>
    </xf>
    <xf numFmtId="173" fontId="128" fillId="0" borderId="78" xfId="0" applyNumberFormat="1" applyFont="1" applyBorder="1" applyAlignment="1">
      <alignment horizontal="center" vertical="center" wrapText="1"/>
    </xf>
    <xf numFmtId="173" fontId="129" fillId="0" borderId="10" xfId="0" applyNumberFormat="1" applyFont="1" applyBorder="1" applyAlignment="1">
      <alignment horizontal="center" vertical="center" wrapText="1"/>
    </xf>
    <xf numFmtId="0" fontId="129" fillId="0" borderId="78" xfId="0" applyFont="1" applyBorder="1" applyAlignment="1">
      <alignment horizontal="center" vertical="center" wrapText="1"/>
    </xf>
    <xf numFmtId="0" fontId="129" fillId="0" borderId="10" xfId="0" applyFont="1" applyBorder="1" applyAlignment="1">
      <alignment horizontal="center" vertical="center" wrapText="1"/>
    </xf>
    <xf numFmtId="173" fontId="129" fillId="0" borderId="78" xfId="0" applyNumberFormat="1" applyFont="1" applyBorder="1" applyAlignment="1">
      <alignment horizontal="center" vertical="center" wrapText="1"/>
    </xf>
    <xf numFmtId="173" fontId="9" fillId="0" borderId="10" xfId="0" applyNumberFormat="1" applyFont="1" applyBorder="1" applyAlignment="1">
      <alignment horizontal="center" vertical="center" wrapText="1"/>
    </xf>
    <xf numFmtId="173" fontId="9" fillId="0" borderId="25" xfId="0" applyNumberFormat="1" applyFont="1" applyBorder="1" applyAlignment="1">
      <alignment horizontal="center" vertical="center" wrapText="1"/>
    </xf>
    <xf numFmtId="173" fontId="0" fillId="0" borderId="10" xfId="0" applyNumberFormat="1" applyFont="1" applyBorder="1" applyAlignment="1">
      <alignment horizontal="center" vertical="center" wrapText="1"/>
    </xf>
    <xf numFmtId="173" fontId="0" fillId="0" borderId="25" xfId="0" applyNumberFormat="1" applyFont="1" applyBorder="1" applyAlignment="1">
      <alignment horizontal="center" vertical="center" wrapText="1"/>
    </xf>
    <xf numFmtId="173" fontId="9" fillId="0" borderId="11" xfId="0" applyNumberFormat="1" applyFont="1" applyBorder="1" applyAlignment="1">
      <alignment horizontal="center" vertical="center" wrapText="1"/>
    </xf>
    <xf numFmtId="173" fontId="9" fillId="0" borderId="29" xfId="0" applyNumberFormat="1" applyFont="1" applyBorder="1" applyAlignment="1">
      <alignment horizontal="center" vertical="center" wrapText="1"/>
    </xf>
    <xf numFmtId="173" fontId="9" fillId="0" borderId="35" xfId="0" applyNumberFormat="1" applyFont="1" applyBorder="1" applyAlignment="1">
      <alignment horizontal="center" vertical="center" wrapText="1"/>
    </xf>
    <xf numFmtId="173" fontId="9" fillId="0" borderId="58" xfId="0" applyNumberFormat="1" applyFont="1" applyBorder="1" applyAlignment="1">
      <alignment horizontal="center" vertical="center" wrapText="1"/>
    </xf>
    <xf numFmtId="173" fontId="9" fillId="0" borderId="36" xfId="0" applyNumberFormat="1" applyFont="1" applyBorder="1" applyAlignment="1">
      <alignment horizontal="center" vertical="center" wrapText="1"/>
    </xf>
    <xf numFmtId="173" fontId="130" fillId="0" borderId="0" xfId="0" applyNumberFormat="1" applyFont="1" applyFill="1" applyBorder="1" applyAlignment="1">
      <alignment horizontal="center" vertical="center" wrapText="1"/>
    </xf>
    <xf numFmtId="0" fontId="1" fillId="50" borderId="32" xfId="0" applyFont="1" applyFill="1" applyBorder="1" applyAlignment="1">
      <alignment vertical="center" wrapText="1"/>
    </xf>
    <xf numFmtId="0" fontId="1" fillId="50" borderId="41" xfId="0" applyFont="1" applyFill="1" applyBorder="1" applyAlignment="1">
      <alignment horizontal="center" vertical="center" wrapText="1"/>
    </xf>
    <xf numFmtId="0" fontId="1" fillId="50" borderId="70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vertical="center" wrapText="1"/>
    </xf>
    <xf numFmtId="173" fontId="10" fillId="0" borderId="11" xfId="0" applyNumberFormat="1" applyFont="1" applyBorder="1" applyAlignment="1">
      <alignment horizontal="center" vertical="center" wrapText="1"/>
    </xf>
    <xf numFmtId="173" fontId="1" fillId="40" borderId="79" xfId="0" applyNumberFormat="1" applyFont="1" applyFill="1" applyBorder="1" applyAlignment="1">
      <alignment horizontal="center" vertical="center" wrapText="1"/>
    </xf>
    <xf numFmtId="173" fontId="1" fillId="40" borderId="75" xfId="0" applyNumberFormat="1" applyFont="1" applyFill="1" applyBorder="1" applyAlignment="1">
      <alignment horizontal="center" vertical="center" wrapText="1"/>
    </xf>
    <xf numFmtId="173" fontId="1" fillId="50" borderId="55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175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75" fontId="10" fillId="0" borderId="11" xfId="0" applyNumberFormat="1" applyFont="1" applyFill="1" applyBorder="1" applyAlignment="1" applyProtection="1">
      <alignment horizontal="center" vertical="center"/>
      <protection locked="0"/>
    </xf>
    <xf numFmtId="173" fontId="33" fillId="0" borderId="25" xfId="0" applyNumberFormat="1" applyFont="1" applyFill="1" applyBorder="1" applyAlignment="1">
      <alignment horizontal="center" vertical="center" wrapText="1"/>
    </xf>
    <xf numFmtId="173" fontId="33" fillId="0" borderId="14" xfId="0" applyNumberFormat="1" applyFont="1" applyFill="1" applyBorder="1" applyAlignment="1">
      <alignment horizontal="center" vertical="center" wrapText="1"/>
    </xf>
    <xf numFmtId="173" fontId="33" fillId="0" borderId="11" xfId="0" applyNumberFormat="1" applyFont="1" applyFill="1" applyBorder="1" applyAlignment="1">
      <alignment horizontal="center" vertical="center" wrapText="1"/>
    </xf>
    <xf numFmtId="173" fontId="33" fillId="0" borderId="29" xfId="0" applyNumberFormat="1" applyFont="1" applyFill="1" applyBorder="1" applyAlignment="1">
      <alignment horizontal="center" vertical="center" wrapText="1"/>
    </xf>
    <xf numFmtId="173" fontId="33" fillId="0" borderId="47" xfId="0" applyNumberFormat="1" applyFont="1" applyFill="1" applyBorder="1" applyAlignment="1">
      <alignment horizontal="center" vertical="center" wrapText="1"/>
    </xf>
    <xf numFmtId="173" fontId="33" fillId="0" borderId="35" xfId="0" applyNumberFormat="1" applyFont="1" applyFill="1" applyBorder="1" applyAlignment="1">
      <alignment horizontal="center" vertical="center" wrapText="1"/>
    </xf>
    <xf numFmtId="173" fontId="33" fillId="0" borderId="58" xfId="0" applyNumberFormat="1" applyFont="1" applyFill="1" applyBorder="1" applyAlignment="1">
      <alignment horizontal="center" vertical="center" wrapText="1"/>
    </xf>
    <xf numFmtId="173" fontId="33" fillId="0" borderId="36" xfId="0" applyNumberFormat="1" applyFont="1" applyFill="1" applyBorder="1" applyAlignment="1">
      <alignment horizontal="center" vertical="center" wrapText="1"/>
    </xf>
    <xf numFmtId="173" fontId="53" fillId="0" borderId="25" xfId="0" applyNumberFormat="1" applyFont="1" applyFill="1" applyBorder="1" applyAlignment="1">
      <alignment horizontal="center" vertical="center" wrapText="1"/>
    </xf>
    <xf numFmtId="173" fontId="53" fillId="0" borderId="14" xfId="0" applyNumberFormat="1" applyFont="1" applyFill="1" applyBorder="1" applyAlignment="1">
      <alignment horizontal="center" vertical="center" wrapText="1"/>
    </xf>
    <xf numFmtId="173" fontId="53" fillId="0" borderId="11" xfId="0" applyNumberFormat="1" applyFont="1" applyFill="1" applyBorder="1" applyAlignment="1">
      <alignment horizontal="center" vertical="center" wrapText="1"/>
    </xf>
    <xf numFmtId="173" fontId="53" fillId="0" borderId="29" xfId="0" applyNumberFormat="1" applyFont="1" applyFill="1" applyBorder="1" applyAlignment="1">
      <alignment horizontal="center" vertical="center" wrapText="1"/>
    </xf>
    <xf numFmtId="173" fontId="54" fillId="0" borderId="25" xfId="0" applyNumberFormat="1" applyFont="1" applyFill="1" applyBorder="1" applyAlignment="1">
      <alignment horizontal="center" vertical="center" wrapText="1"/>
    </xf>
    <xf numFmtId="173" fontId="54" fillId="0" borderId="14" xfId="0" applyNumberFormat="1" applyFont="1" applyFill="1" applyBorder="1" applyAlignment="1">
      <alignment horizontal="center" vertical="center" wrapText="1"/>
    </xf>
    <xf numFmtId="173" fontId="54" fillId="0" borderId="11" xfId="0" applyNumberFormat="1" applyFont="1" applyFill="1" applyBorder="1" applyAlignment="1">
      <alignment horizontal="center" vertical="center" wrapText="1"/>
    </xf>
    <xf numFmtId="173" fontId="54" fillId="0" borderId="29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9" fontId="4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5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43" xfId="0" applyNumberFormat="1" applyFont="1" applyFill="1" applyBorder="1" applyAlignment="1" applyProtection="1">
      <alignment horizontal="center" vertical="center" wrapText="1"/>
      <protection locked="0"/>
    </xf>
    <xf numFmtId="175" fontId="1" fillId="3" borderId="53" xfId="0" applyNumberFormat="1" applyFont="1" applyFill="1" applyBorder="1" applyAlignment="1" applyProtection="1">
      <alignment horizontal="center" vertical="center"/>
      <protection locked="0"/>
    </xf>
    <xf numFmtId="0" fontId="2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50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14" xfId="0" applyNumberFormat="1" applyFont="1" applyFill="1" applyBorder="1" applyAlignment="1" applyProtection="1">
      <alignment vertical="center" wrapText="1"/>
      <protection locked="0"/>
    </xf>
    <xf numFmtId="0" fontId="2" fillId="50" borderId="24" xfId="0" applyNumberFormat="1" applyFont="1" applyFill="1" applyBorder="1" applyAlignment="1" applyProtection="1">
      <alignment vertical="center" wrapText="1"/>
      <protection locked="0"/>
    </xf>
    <xf numFmtId="0" fontId="2" fillId="50" borderId="32" xfId="0" applyNumberFormat="1" applyFont="1" applyFill="1" applyBorder="1" applyAlignment="1" applyProtection="1">
      <alignment horizontal="center" vertical="center" wrapText="1"/>
      <protection locked="0"/>
    </xf>
    <xf numFmtId="0" fontId="2" fillId="50" borderId="41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47" xfId="0" applyNumberFormat="1" applyFont="1" applyFill="1" applyBorder="1" applyAlignment="1" applyProtection="1">
      <alignment vertical="center" wrapText="1"/>
      <protection locked="0"/>
    </xf>
    <xf numFmtId="0" fontId="7" fillId="50" borderId="35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58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3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5" xfId="0" applyNumberFormat="1" applyFont="1" applyFill="1" applyBorder="1" applyAlignment="1" applyProtection="1">
      <alignment horizontal="center" vertical="center"/>
      <protection locked="0"/>
    </xf>
    <xf numFmtId="0" fontId="27" fillId="50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7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10" fillId="50" borderId="11" xfId="0" applyNumberFormat="1" applyFont="1" applyFill="1" applyBorder="1" applyAlignment="1" applyProtection="1">
      <alignment horizontal="center" vertical="center"/>
      <protection locked="0"/>
    </xf>
    <xf numFmtId="0" fontId="10" fillId="50" borderId="20" xfId="0" applyNumberFormat="1" applyFont="1" applyFill="1" applyBorder="1" applyAlignment="1" applyProtection="1">
      <alignment horizontal="center" vertical="center"/>
      <protection locked="0"/>
    </xf>
    <xf numFmtId="0" fontId="10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20" xfId="0" applyNumberFormat="1" applyFont="1" applyFill="1" applyBorder="1" applyAlignment="1" applyProtection="1">
      <alignment horizontal="center" vertical="center" wrapText="1"/>
      <protection locked="0"/>
    </xf>
    <xf numFmtId="0" fontId="27" fillId="50" borderId="11" xfId="0" applyNumberFormat="1" applyFont="1" applyFill="1" applyBorder="1" applyAlignment="1" applyProtection="1">
      <alignment horizontal="center" vertical="center"/>
      <protection locked="0"/>
    </xf>
    <xf numFmtId="0" fontId="36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50" borderId="20" xfId="0" applyNumberFormat="1" applyFont="1" applyFill="1" applyBorder="1" applyAlignment="1" applyProtection="1">
      <alignment horizontal="center" vertical="center" wrapText="1"/>
      <protection locked="0"/>
    </xf>
    <xf numFmtId="0" fontId="27" fillId="50" borderId="14" xfId="0" applyNumberFormat="1" applyFont="1" applyFill="1" applyBorder="1" applyAlignment="1" applyProtection="1">
      <alignment vertical="center" wrapText="1"/>
      <protection locked="0"/>
    </xf>
    <xf numFmtId="0" fontId="27" fillId="5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50" borderId="0" xfId="0" applyFill="1" applyAlignment="1">
      <alignment/>
    </xf>
    <xf numFmtId="0" fontId="0" fillId="50" borderId="0" xfId="0" applyFont="1" applyFill="1" applyAlignment="1">
      <alignment/>
    </xf>
    <xf numFmtId="0" fontId="0" fillId="0" borderId="0" xfId="0" applyFont="1" applyAlignment="1">
      <alignment/>
    </xf>
    <xf numFmtId="0" fontId="36" fillId="50" borderId="20" xfId="0" applyNumberFormat="1" applyFont="1" applyFill="1" applyBorder="1" applyAlignment="1" applyProtection="1">
      <alignment horizontal="center" vertical="center" wrapText="1"/>
      <protection locked="0"/>
    </xf>
    <xf numFmtId="0" fontId="27" fillId="50" borderId="11" xfId="0" applyNumberFormat="1" applyFont="1" applyFill="1" applyBorder="1" applyAlignment="1" applyProtection="1">
      <alignment horizontal="center" vertical="center"/>
      <protection locked="0"/>
    </xf>
    <xf numFmtId="0" fontId="27" fillId="50" borderId="20" xfId="0" applyNumberFormat="1" applyFont="1" applyFill="1" applyBorder="1" applyAlignment="1" applyProtection="1">
      <alignment horizontal="center" vertical="center"/>
      <protection locked="0"/>
    </xf>
    <xf numFmtId="175" fontId="10" fillId="50" borderId="55" xfId="0" applyNumberFormat="1" applyFont="1" applyFill="1" applyBorder="1" applyAlignment="1">
      <alignment horizontal="center"/>
    </xf>
    <xf numFmtId="175" fontId="16" fillId="50" borderId="13" xfId="0" applyNumberFormat="1" applyFont="1" applyFill="1" applyBorder="1" applyAlignment="1">
      <alignment horizontal="center"/>
    </xf>
    <xf numFmtId="2" fontId="18" fillId="50" borderId="24" xfId="0" applyNumberFormat="1" applyFont="1" applyFill="1" applyBorder="1" applyAlignment="1">
      <alignment horizontal="center"/>
    </xf>
    <xf numFmtId="0" fontId="18" fillId="50" borderId="25" xfId="0" applyFont="1" applyFill="1" applyBorder="1" applyAlignment="1">
      <alignment horizontal="center"/>
    </xf>
    <xf numFmtId="173" fontId="16" fillId="50" borderId="71" xfId="0" applyNumberFormat="1" applyFont="1" applyFill="1" applyBorder="1" applyAlignment="1">
      <alignment horizontal="center"/>
    </xf>
    <xf numFmtId="1" fontId="18" fillId="50" borderId="10" xfId="0" applyNumberFormat="1" applyFont="1" applyFill="1" applyBorder="1" applyAlignment="1">
      <alignment horizontal="center"/>
    </xf>
    <xf numFmtId="49" fontId="7" fillId="0" borderId="40" xfId="0" applyNumberFormat="1" applyFont="1" applyBorder="1" applyAlignment="1">
      <alignment horizontal="center" vertical="center"/>
    </xf>
    <xf numFmtId="0" fontId="7" fillId="0" borderId="40" xfId="0" applyNumberFormat="1" applyFont="1" applyBorder="1" applyAlignment="1" applyProtection="1">
      <alignment horizontal="center" vertical="center"/>
      <protection locked="0"/>
    </xf>
    <xf numFmtId="49" fontId="2" fillId="49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45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2" fillId="45" borderId="2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25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25" xfId="0" applyNumberFormat="1" applyFont="1" applyFill="1" applyBorder="1" applyAlignment="1" applyProtection="1">
      <alignment horizontal="center" vertical="center"/>
      <protection locked="0"/>
    </xf>
    <xf numFmtId="49" fontId="9" fillId="0" borderId="25" xfId="0" applyNumberFormat="1" applyFont="1" applyFill="1" applyBorder="1" applyAlignment="1" applyProtection="1">
      <alignment horizontal="center" vertical="center"/>
      <protection locked="0"/>
    </xf>
    <xf numFmtId="49" fontId="2" fillId="0" borderId="25" xfId="0" applyNumberFormat="1" applyFont="1" applyFill="1" applyBorder="1" applyAlignment="1" applyProtection="1">
      <alignment horizontal="center" vertical="center"/>
      <protection locked="0"/>
    </xf>
    <xf numFmtId="49" fontId="9" fillId="0" borderId="25" xfId="0" applyNumberFormat="1" applyFont="1" applyFill="1" applyBorder="1" applyAlignment="1" applyProtection="1">
      <alignment horizontal="center" vertical="center"/>
      <protection locked="0"/>
    </xf>
    <xf numFmtId="49" fontId="2" fillId="49" borderId="13" xfId="0" applyNumberFormat="1" applyFont="1" applyFill="1" applyBorder="1" applyAlignment="1" applyProtection="1">
      <alignment horizontal="center" vertical="center"/>
      <protection locked="0"/>
    </xf>
    <xf numFmtId="49" fontId="2" fillId="45" borderId="24" xfId="0" applyNumberFormat="1" applyFont="1" applyFill="1" applyBorder="1" applyAlignment="1" applyProtection="1">
      <alignment horizontal="center" vertical="center"/>
      <protection locked="0"/>
    </xf>
    <xf numFmtId="49" fontId="9" fillId="0" borderId="45" xfId="0" applyNumberFormat="1" applyFont="1" applyFill="1" applyBorder="1" applyAlignment="1" applyProtection="1">
      <alignment horizontal="center" vertical="center"/>
      <protection locked="0"/>
    </xf>
    <xf numFmtId="49" fontId="8" fillId="0" borderId="45" xfId="0" applyNumberFormat="1" applyFont="1" applyFill="1" applyBorder="1" applyAlignment="1" applyProtection="1">
      <alignment horizontal="center" vertical="center"/>
      <protection locked="0"/>
    </xf>
    <xf numFmtId="49" fontId="9" fillId="0" borderId="40" xfId="0" applyNumberFormat="1" applyFont="1" applyFill="1" applyBorder="1" applyAlignment="1" applyProtection="1">
      <alignment horizontal="center" vertical="center"/>
      <protection locked="0"/>
    </xf>
    <xf numFmtId="49" fontId="2" fillId="45" borderId="25" xfId="0" applyNumberFormat="1" applyFont="1" applyFill="1" applyBorder="1" applyAlignment="1" applyProtection="1">
      <alignment horizontal="center" vertical="center"/>
      <protection locked="0"/>
    </xf>
    <xf numFmtId="49" fontId="2" fillId="49" borderId="13" xfId="0" applyNumberFormat="1" applyFont="1" applyFill="1" applyBorder="1" applyAlignment="1" applyProtection="1">
      <alignment horizontal="center" vertical="center"/>
      <protection locked="0"/>
    </xf>
    <xf numFmtId="49" fontId="2" fillId="45" borderId="44" xfId="0" applyNumberFormat="1" applyFont="1" applyFill="1" applyBorder="1" applyAlignment="1" applyProtection="1">
      <alignment horizontal="center" vertical="center"/>
      <protection locked="0"/>
    </xf>
    <xf numFmtId="49" fontId="9" fillId="0" borderId="47" xfId="0" applyNumberFormat="1" applyFont="1" applyFill="1" applyBorder="1" applyAlignment="1" applyProtection="1">
      <alignment horizontal="center" vertical="center"/>
      <protection locked="0"/>
    </xf>
    <xf numFmtId="49" fontId="2" fillId="45" borderId="40" xfId="0" applyNumberFormat="1" applyFont="1" applyFill="1" applyBorder="1" applyAlignment="1" applyProtection="1">
      <alignment horizontal="center" vertical="center"/>
      <protection locked="0"/>
    </xf>
    <xf numFmtId="0" fontId="2" fillId="50" borderId="30" xfId="0" applyNumberFormat="1" applyFont="1" applyFill="1" applyBorder="1" applyAlignment="1" applyProtection="1">
      <alignment horizontal="center" vertical="center" wrapText="1"/>
      <protection locked="0"/>
    </xf>
    <xf numFmtId="0" fontId="27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27" fillId="5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27" fillId="50" borderId="14" xfId="0" applyNumberFormat="1" applyFont="1" applyFill="1" applyBorder="1" applyAlignment="1" applyProtection="1">
      <alignment wrapText="1" readingOrder="1"/>
      <protection locked="0"/>
    </xf>
    <xf numFmtId="0" fontId="2" fillId="50" borderId="14" xfId="0" applyNumberFormat="1" applyFont="1" applyFill="1" applyBorder="1" applyAlignment="1" applyProtection="1">
      <alignment vertical="center" wrapText="1"/>
      <protection locked="0"/>
    </xf>
    <xf numFmtId="0" fontId="7" fillId="50" borderId="14" xfId="0" applyNumberFormat="1" applyFont="1" applyFill="1" applyBorder="1" applyAlignment="1" applyProtection="1">
      <alignment wrapText="1" readingOrder="1"/>
      <protection locked="0"/>
    </xf>
    <xf numFmtId="0" fontId="10" fillId="50" borderId="14" xfId="0" applyNumberFormat="1" applyFont="1" applyFill="1" applyBorder="1" applyAlignment="1" applyProtection="1">
      <alignment wrapText="1" readingOrder="1"/>
      <protection locked="0"/>
    </xf>
    <xf numFmtId="0" fontId="10" fillId="50" borderId="14" xfId="0" applyNumberFormat="1" applyFont="1" applyFill="1" applyBorder="1" applyAlignment="1" applyProtection="1">
      <alignment vertical="center" wrapText="1"/>
      <protection locked="0"/>
    </xf>
    <xf numFmtId="0" fontId="27" fillId="50" borderId="14" xfId="0" applyNumberFormat="1" applyFont="1" applyFill="1" applyBorder="1" applyAlignment="1" applyProtection="1">
      <alignment vertical="center" wrapText="1"/>
      <protection locked="0"/>
    </xf>
    <xf numFmtId="0" fontId="10" fillId="50" borderId="14" xfId="0" applyNumberFormat="1" applyFont="1" applyFill="1" applyBorder="1" applyAlignment="1" applyProtection="1">
      <alignment vertical="center" wrapText="1"/>
      <protection locked="0"/>
    </xf>
    <xf numFmtId="0" fontId="10" fillId="50" borderId="32" xfId="0" applyNumberFormat="1" applyFont="1" applyFill="1" applyBorder="1" applyAlignment="1" applyProtection="1">
      <alignment horizontal="left" vertical="center" wrapText="1" readingOrder="1"/>
      <protection locked="0"/>
    </xf>
    <xf numFmtId="49" fontId="27" fillId="50" borderId="41" xfId="0" applyNumberFormat="1" applyFont="1" applyFill="1" applyBorder="1" applyAlignment="1">
      <alignment horizontal="center" vertical="center"/>
    </xf>
    <xf numFmtId="0" fontId="27" fillId="50" borderId="15" xfId="0" applyNumberFormat="1" applyFont="1" applyFill="1" applyBorder="1" applyAlignment="1" applyProtection="1">
      <alignment horizontal="left" vertical="center" wrapText="1" readingOrder="1"/>
      <protection locked="0"/>
    </xf>
    <xf numFmtId="49" fontId="27" fillId="50" borderId="70" xfId="0" applyNumberFormat="1" applyFont="1" applyFill="1" applyBorder="1" applyAlignment="1">
      <alignment horizontal="center" vertical="center"/>
    </xf>
    <xf numFmtId="0" fontId="36" fillId="50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20" xfId="0" applyNumberFormat="1" applyFont="1" applyFill="1" applyBorder="1" applyAlignment="1" applyProtection="1">
      <alignment horizontal="center" vertical="center" wrapText="1"/>
      <protection locked="0"/>
    </xf>
    <xf numFmtId="175" fontId="10" fillId="50" borderId="24" xfId="0" applyNumberFormat="1" applyFont="1" applyFill="1" applyBorder="1" applyAlignment="1">
      <alignment horizontal="center"/>
    </xf>
    <xf numFmtId="175" fontId="10" fillId="50" borderId="24" xfId="0" applyNumberFormat="1" applyFont="1" applyFill="1" applyBorder="1" applyAlignment="1" applyProtection="1">
      <alignment horizontal="center" vertical="center"/>
      <protection locked="0"/>
    </xf>
    <xf numFmtId="175" fontId="27" fillId="50" borderId="25" xfId="0" applyNumberFormat="1" applyFont="1" applyFill="1" applyBorder="1" applyAlignment="1" applyProtection="1">
      <alignment horizontal="center" vertical="center"/>
      <protection locked="0"/>
    </xf>
    <xf numFmtId="175" fontId="2" fillId="50" borderId="25" xfId="0" applyNumberFormat="1" applyFont="1" applyFill="1" applyBorder="1" applyAlignment="1" applyProtection="1">
      <alignment horizontal="center" vertical="center"/>
      <protection locked="0"/>
    </xf>
    <xf numFmtId="175" fontId="7" fillId="50" borderId="25" xfId="0" applyNumberFormat="1" applyFont="1" applyFill="1" applyBorder="1" applyAlignment="1" applyProtection="1">
      <alignment horizontal="center" vertical="center"/>
      <protection locked="0"/>
    </xf>
    <xf numFmtId="175" fontId="10" fillId="50" borderId="24" xfId="0" applyNumberFormat="1" applyFont="1" applyFill="1" applyBorder="1" applyAlignment="1" applyProtection="1">
      <alignment horizontal="center" vertical="center"/>
      <protection locked="0"/>
    </xf>
    <xf numFmtId="175" fontId="27" fillId="50" borderId="25" xfId="0" applyNumberFormat="1" applyFont="1" applyFill="1" applyBorder="1" applyAlignment="1" applyProtection="1">
      <alignment horizontal="center" vertical="center"/>
      <protection locked="0"/>
    </xf>
    <xf numFmtId="175" fontId="10" fillId="50" borderId="25" xfId="0" applyNumberFormat="1" applyFont="1" applyFill="1" applyBorder="1" applyAlignment="1" applyProtection="1">
      <alignment horizontal="center" vertical="center"/>
      <protection locked="0"/>
    </xf>
    <xf numFmtId="175" fontId="10" fillId="50" borderId="10" xfId="0" applyNumberFormat="1" applyFont="1" applyFill="1" applyBorder="1" applyAlignment="1" applyProtection="1">
      <alignment horizontal="center" vertical="center"/>
      <protection locked="0"/>
    </xf>
    <xf numFmtId="49" fontId="13" fillId="38" borderId="32" xfId="0" applyNumberFormat="1" applyFont="1" applyFill="1" applyBorder="1" applyAlignment="1">
      <alignment horizontal="center" vertical="center" wrapText="1"/>
    </xf>
    <xf numFmtId="0" fontId="13" fillId="38" borderId="30" xfId="0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vertical="top" wrapText="1"/>
    </xf>
    <xf numFmtId="173" fontId="34" fillId="0" borderId="24" xfId="0" applyNumberFormat="1" applyFont="1" applyBorder="1" applyAlignment="1">
      <alignment horizontal="center" vertical="center" wrapText="1"/>
    </xf>
    <xf numFmtId="173" fontId="34" fillId="0" borderId="62" xfId="0" applyNumberFormat="1" applyFont="1" applyBorder="1" applyAlignment="1">
      <alignment horizontal="center" vertical="center" wrapText="1"/>
    </xf>
    <xf numFmtId="173" fontId="34" fillId="0" borderId="63" xfId="0" applyNumberFormat="1" applyFont="1" applyBorder="1" applyAlignment="1">
      <alignment horizontal="center" vertical="center" wrapText="1"/>
    </xf>
    <xf numFmtId="173" fontId="34" fillId="0" borderId="64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0" xfId="0" applyFont="1" applyBorder="1" applyAlignment="1">
      <alignment vertical="top" wrapText="1"/>
    </xf>
    <xf numFmtId="173" fontId="34" fillId="0" borderId="25" xfId="0" applyNumberFormat="1" applyFont="1" applyBorder="1" applyAlignment="1">
      <alignment horizontal="center" vertical="center" wrapText="1"/>
    </xf>
    <xf numFmtId="173" fontId="1" fillId="0" borderId="14" xfId="0" applyNumberFormat="1" applyFont="1" applyBorder="1" applyAlignment="1">
      <alignment horizontal="center" vertical="center"/>
    </xf>
    <xf numFmtId="173" fontId="1" fillId="0" borderId="17" xfId="0" applyNumberFormat="1" applyFont="1" applyBorder="1" applyAlignment="1">
      <alignment horizontal="center" vertical="center"/>
    </xf>
    <xf numFmtId="173" fontId="1" fillId="0" borderId="71" xfId="0" applyNumberFormat="1" applyFont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 vertical="center"/>
    </xf>
    <xf numFmtId="173" fontId="1" fillId="0" borderId="29" xfId="0" applyNumberFormat="1" applyFont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vertical="center" wrapText="1"/>
    </xf>
    <xf numFmtId="173" fontId="1" fillId="0" borderId="14" xfId="0" applyNumberFormat="1" applyFont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 vertical="center"/>
    </xf>
    <xf numFmtId="173" fontId="34" fillId="0" borderId="14" xfId="0" applyNumberFormat="1" applyFont="1" applyBorder="1" applyAlignment="1">
      <alignment horizontal="center" vertical="center" wrapText="1"/>
    </xf>
    <xf numFmtId="173" fontId="34" fillId="0" borderId="11" xfId="0" applyNumberFormat="1" applyFont="1" applyBorder="1" applyAlignment="1">
      <alignment horizontal="center" vertical="center" wrapText="1"/>
    </xf>
    <xf numFmtId="173" fontId="34" fillId="0" borderId="29" xfId="0" applyNumberFormat="1" applyFont="1" applyBorder="1" applyAlignment="1">
      <alignment horizontal="center" vertical="center" wrapText="1"/>
    </xf>
    <xf numFmtId="173" fontId="53" fillId="0" borderId="25" xfId="0" applyNumberFormat="1" applyFont="1" applyFill="1" applyBorder="1" applyAlignment="1">
      <alignment horizontal="center" vertical="center" wrapText="1"/>
    </xf>
    <xf numFmtId="173" fontId="53" fillId="0" borderId="10" xfId="0" applyNumberFormat="1" applyFont="1" applyFill="1" applyBorder="1" applyAlignment="1">
      <alignment horizontal="center" vertical="center" wrapText="1"/>
    </xf>
    <xf numFmtId="173" fontId="53" fillId="0" borderId="14" xfId="0" applyNumberFormat="1" applyFont="1" applyFill="1" applyBorder="1" applyAlignment="1">
      <alignment horizontal="center" vertical="center" wrapText="1"/>
    </xf>
    <xf numFmtId="173" fontId="53" fillId="0" borderId="11" xfId="0" applyNumberFormat="1" applyFont="1" applyFill="1" applyBorder="1" applyAlignment="1">
      <alignment horizontal="center" vertical="center" wrapText="1"/>
    </xf>
    <xf numFmtId="173" fontId="53" fillId="0" borderId="29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Alignment="1">
      <alignment horizontal="right"/>
    </xf>
    <xf numFmtId="0" fontId="18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50" borderId="11" xfId="0" applyNumberFormat="1" applyFont="1" applyFill="1" applyBorder="1" applyAlignment="1" applyProtection="1">
      <alignment wrapText="1" readingOrder="1"/>
      <protection locked="0"/>
    </xf>
    <xf numFmtId="0" fontId="42" fillId="0" borderId="0" xfId="0" applyFont="1" applyAlignment="1">
      <alignment/>
    </xf>
    <xf numFmtId="0" fontId="31" fillId="50" borderId="11" xfId="0" applyNumberFormat="1" applyFont="1" applyFill="1" applyBorder="1" applyAlignment="1" applyProtection="1">
      <alignment wrapText="1" readingOrder="1"/>
      <protection locked="0"/>
    </xf>
    <xf numFmtId="0" fontId="18" fillId="50" borderId="11" xfId="0" applyNumberFormat="1" applyFont="1" applyFill="1" applyBorder="1" applyAlignment="1" applyProtection="1">
      <alignment horizontal="center" vertical="center"/>
      <protection locked="0"/>
    </xf>
    <xf numFmtId="49" fontId="18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31" fillId="50" borderId="11" xfId="0" applyNumberFormat="1" applyFont="1" applyFill="1" applyBorder="1" applyAlignment="1" applyProtection="1">
      <alignment horizontal="center" vertical="center" wrapText="1"/>
      <protection locked="0"/>
    </xf>
    <xf numFmtId="49" fontId="41" fillId="0" borderId="50" xfId="0" applyNumberFormat="1" applyFont="1" applyBorder="1" applyAlignment="1">
      <alignment horizontal="center" vertical="center" wrapText="1"/>
    </xf>
    <xf numFmtId="49" fontId="7" fillId="0" borderId="83" xfId="0" applyNumberFormat="1" applyFont="1" applyBorder="1" applyAlignment="1">
      <alignment horizontal="center" vertical="center"/>
    </xf>
    <xf numFmtId="0" fontId="1" fillId="45" borderId="8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86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7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1" xfId="0" applyNumberFormat="1" applyFont="1" applyBorder="1" applyAlignment="1" applyProtection="1">
      <alignment horizontal="center" vertical="center" wrapText="1"/>
      <protection locked="0"/>
    </xf>
    <xf numFmtId="0" fontId="7" fillId="0" borderId="71" xfId="0" applyNumberFormat="1" applyFont="1" applyBorder="1" applyAlignment="1" applyProtection="1">
      <alignment horizontal="center" vertical="center" wrapText="1"/>
      <protection locked="0"/>
    </xf>
    <xf numFmtId="0" fontId="6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71" xfId="0" applyNumberFormat="1" applyFont="1" applyFill="1" applyBorder="1" applyAlignment="1" applyProtection="1">
      <alignment horizontal="center" vertical="center"/>
      <protection locked="0"/>
    </xf>
    <xf numFmtId="0" fontId="10" fillId="0" borderId="71" xfId="0" applyNumberFormat="1" applyFont="1" applyFill="1" applyBorder="1" applyAlignment="1" applyProtection="1">
      <alignment/>
      <protection locked="0"/>
    </xf>
    <xf numFmtId="0" fontId="10" fillId="0" borderId="71" xfId="0" applyNumberFormat="1" applyFont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>
      <alignment horizontal="center" vertical="center" wrapText="1"/>
    </xf>
    <xf numFmtId="0" fontId="31" fillId="50" borderId="11" xfId="0" applyNumberFormat="1" applyFont="1" applyFill="1" applyBorder="1" applyAlignment="1" applyProtection="1">
      <alignment vertical="center" wrapText="1"/>
      <protection locked="0"/>
    </xf>
    <xf numFmtId="0" fontId="31" fillId="5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8" fillId="50" borderId="11" xfId="0" applyNumberFormat="1" applyFont="1" applyFill="1" applyBorder="1" applyAlignment="1" applyProtection="1">
      <alignment vertical="center" wrapText="1"/>
      <protection locked="0"/>
    </xf>
    <xf numFmtId="49" fontId="31" fillId="50" borderId="11" xfId="0" applyNumberFormat="1" applyFont="1" applyFill="1" applyBorder="1" applyAlignment="1" applyProtection="1">
      <alignment wrapText="1" readingOrder="1"/>
      <protection locked="0"/>
    </xf>
    <xf numFmtId="0" fontId="131" fillId="50" borderId="11" xfId="0" applyNumberFormat="1" applyFont="1" applyFill="1" applyBorder="1" applyAlignment="1" applyProtection="1">
      <alignment wrapText="1" readingOrder="1"/>
      <protection locked="0"/>
    </xf>
    <xf numFmtId="0" fontId="131" fillId="50" borderId="11" xfId="0" applyNumberFormat="1" applyFont="1" applyFill="1" applyBorder="1" applyAlignment="1" applyProtection="1">
      <alignment vertical="center" wrapText="1"/>
      <protection locked="0"/>
    </xf>
    <xf numFmtId="49" fontId="31" fillId="0" borderId="11" xfId="0" applyNumberFormat="1" applyFont="1" applyBorder="1" applyAlignment="1">
      <alignment horizontal="center" vertical="center" wrapText="1"/>
    </xf>
    <xf numFmtId="173" fontId="10" fillId="0" borderId="14" xfId="0" applyNumberFormat="1" applyFont="1" applyBorder="1" applyAlignment="1">
      <alignment horizontal="center" vertical="center"/>
    </xf>
    <xf numFmtId="173" fontId="10" fillId="0" borderId="11" xfId="0" applyNumberFormat="1" applyFont="1" applyBorder="1" applyAlignment="1">
      <alignment horizontal="center" vertical="center"/>
    </xf>
    <xf numFmtId="173" fontId="10" fillId="0" borderId="29" xfId="0" applyNumberFormat="1" applyFont="1" applyBorder="1" applyAlignment="1">
      <alignment horizontal="center" vertical="center"/>
    </xf>
    <xf numFmtId="49" fontId="132" fillId="0" borderId="14" xfId="0" applyNumberFormat="1" applyFont="1" applyBorder="1" applyAlignment="1">
      <alignment horizontal="center" vertical="center" wrapText="1"/>
    </xf>
    <xf numFmtId="173" fontId="1" fillId="0" borderId="29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 wrapText="1"/>
    </xf>
    <xf numFmtId="0" fontId="13" fillId="0" borderId="20" xfId="0" applyNumberFormat="1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20" xfId="0" applyFont="1" applyBorder="1" applyAlignment="1">
      <alignment horizontal="center" vertical="center" wrapText="1"/>
    </xf>
    <xf numFmtId="173" fontId="10" fillId="0" borderId="25" xfId="0" applyNumberFormat="1" applyFont="1" applyBorder="1" applyAlignment="1">
      <alignment horizontal="center" vertical="center" wrapText="1"/>
    </xf>
    <xf numFmtId="0" fontId="26" fillId="0" borderId="11" xfId="0" applyNumberFormat="1" applyFont="1" applyBorder="1" applyAlignment="1" applyProtection="1">
      <alignment horizontal="center" vertical="center" wrapText="1"/>
      <protection locked="0"/>
    </xf>
    <xf numFmtId="0" fontId="26" fillId="0" borderId="20" xfId="0" applyNumberFormat="1" applyFont="1" applyBorder="1" applyAlignment="1" applyProtection="1">
      <alignment horizontal="center" vertical="center" wrapText="1"/>
      <protection locked="0"/>
    </xf>
    <xf numFmtId="0" fontId="26" fillId="0" borderId="14" xfId="0" applyFont="1" applyBorder="1" applyAlignment="1">
      <alignment vertical="center" wrapText="1"/>
    </xf>
    <xf numFmtId="0" fontId="10" fillId="0" borderId="20" xfId="0" applyNumberFormat="1" applyFont="1" applyBorder="1" applyAlignment="1" applyProtection="1">
      <alignment horizontal="center" vertical="center" wrapText="1"/>
      <protection locked="0"/>
    </xf>
    <xf numFmtId="0" fontId="28" fillId="0" borderId="14" xfId="0" applyFont="1" applyBorder="1" applyAlignment="1">
      <alignment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26" fillId="0" borderId="20" xfId="0" applyFont="1" applyBorder="1" applyAlignment="1">
      <alignment horizontal="center" vertical="center" wrapText="1"/>
    </xf>
    <xf numFmtId="0" fontId="133" fillId="0" borderId="10" xfId="0" applyFont="1" applyBorder="1" applyAlignment="1">
      <alignment horizontal="center" vertical="center" wrapText="1"/>
    </xf>
    <xf numFmtId="0" fontId="134" fillId="0" borderId="10" xfId="0" applyFont="1" applyBorder="1" applyAlignment="1">
      <alignment horizontal="center" vertical="center" wrapText="1"/>
    </xf>
    <xf numFmtId="0" fontId="134" fillId="0" borderId="78" xfId="0" applyFont="1" applyBorder="1" applyAlignment="1">
      <alignment horizontal="center" vertical="center" wrapText="1"/>
    </xf>
    <xf numFmtId="173" fontId="26" fillId="0" borderId="11" xfId="0" applyNumberFormat="1" applyFont="1" applyBorder="1" applyAlignment="1">
      <alignment horizontal="center" vertical="center" wrapText="1"/>
    </xf>
    <xf numFmtId="49" fontId="4" fillId="3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11" xfId="0" applyNumberFormat="1" applyFont="1" applyFill="1" applyBorder="1" applyAlignment="1" applyProtection="1">
      <alignment horizontal="center" vertical="center" wrapText="1"/>
      <protection locked="0"/>
    </xf>
    <xf numFmtId="175" fontId="7" fillId="50" borderId="10" xfId="0" applyNumberFormat="1" applyFont="1" applyFill="1" applyBorder="1" applyAlignment="1" applyProtection="1">
      <alignment horizontal="center" vertical="center"/>
      <protection locked="0"/>
    </xf>
    <xf numFmtId="0" fontId="9" fillId="50" borderId="11" xfId="0" applyNumberFormat="1" applyFont="1" applyFill="1" applyBorder="1" applyAlignment="1" applyProtection="1">
      <alignment horizontal="center" vertical="center" wrapText="1"/>
      <protection locked="0"/>
    </xf>
    <xf numFmtId="175" fontId="7" fillId="50" borderId="10" xfId="0" applyNumberFormat="1" applyFont="1" applyFill="1" applyBorder="1" applyAlignment="1" applyProtection="1">
      <alignment horizontal="center" vertical="center"/>
      <protection locked="0"/>
    </xf>
    <xf numFmtId="0" fontId="7" fillId="50" borderId="11" xfId="0" applyNumberFormat="1" applyFont="1" applyFill="1" applyBorder="1" applyAlignment="1" applyProtection="1">
      <alignment horizontal="center" vertical="center"/>
      <protection locked="0"/>
    </xf>
    <xf numFmtId="49" fontId="7" fillId="5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5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1" xfId="0" applyNumberFormat="1" applyFont="1" applyFill="1" applyBorder="1" applyAlignment="1" applyProtection="1">
      <alignment horizontal="center" vertical="center"/>
      <protection locked="0"/>
    </xf>
    <xf numFmtId="49" fontId="27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4" borderId="11" xfId="0" applyNumberFormat="1" applyFont="1" applyFill="1" applyBorder="1" applyAlignment="1" applyProtection="1">
      <alignment horizontal="center" vertical="center" wrapText="1"/>
      <protection locked="0"/>
    </xf>
    <xf numFmtId="175" fontId="27" fillId="4" borderId="10" xfId="0" applyNumberFormat="1" applyFont="1" applyFill="1" applyBorder="1" applyAlignment="1" applyProtection="1">
      <alignment horizontal="center" vertical="center"/>
      <protection locked="0"/>
    </xf>
    <xf numFmtId="49" fontId="10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11" xfId="0" applyNumberFormat="1" applyFont="1" applyFill="1" applyBorder="1" applyAlignment="1" applyProtection="1">
      <alignment horizontal="center" vertical="center"/>
      <protection locked="0"/>
    </xf>
    <xf numFmtId="49" fontId="7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50" borderId="41" xfId="0" applyNumberFormat="1" applyFont="1" applyFill="1" applyBorder="1" applyAlignment="1" applyProtection="1">
      <alignment horizontal="center" vertical="center" wrapText="1"/>
      <protection locked="0"/>
    </xf>
    <xf numFmtId="49" fontId="7" fillId="50" borderId="19" xfId="0" applyNumberFormat="1" applyFont="1" applyFill="1" applyBorder="1" applyAlignment="1">
      <alignment horizontal="center" vertical="center" wrapText="1"/>
    </xf>
    <xf numFmtId="49" fontId="7" fillId="50" borderId="23" xfId="0" applyNumberFormat="1" applyFont="1" applyFill="1" applyBorder="1" applyAlignment="1">
      <alignment horizontal="center" vertical="center" wrapText="1"/>
    </xf>
    <xf numFmtId="0" fontId="6" fillId="35" borderId="61" xfId="0" applyFont="1" applyFill="1" applyBorder="1" applyAlignment="1">
      <alignment horizontal="center" vertical="center" wrapText="1"/>
    </xf>
    <xf numFmtId="0" fontId="6" fillId="35" borderId="65" xfId="0" applyFont="1" applyFill="1" applyBorder="1" applyAlignment="1">
      <alignment horizontal="center" vertical="center" wrapText="1"/>
    </xf>
    <xf numFmtId="0" fontId="9" fillId="4" borderId="11" xfId="0" applyNumberFormat="1" applyFont="1" applyFill="1" applyBorder="1" applyAlignment="1" applyProtection="1">
      <alignment horizontal="center" vertical="center" wrapText="1"/>
      <protection locked="0"/>
    </xf>
    <xf numFmtId="175" fontId="7" fillId="4" borderId="10" xfId="0" applyNumberFormat="1" applyFont="1" applyFill="1" applyBorder="1" applyAlignment="1" applyProtection="1">
      <alignment horizontal="center" vertical="center"/>
      <protection locked="0"/>
    </xf>
    <xf numFmtId="175" fontId="7" fillId="4" borderId="10" xfId="0" applyNumberFormat="1" applyFont="1" applyFill="1" applyBorder="1" applyAlignment="1" applyProtection="1">
      <alignment horizontal="center" vertical="center"/>
      <protection locked="0"/>
    </xf>
    <xf numFmtId="49" fontId="9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50" borderId="25" xfId="0" applyNumberFormat="1" applyFont="1" applyFill="1" applyBorder="1" applyAlignment="1" applyProtection="1">
      <alignment horizontal="center" vertical="center" wrapText="1"/>
      <protection locked="0"/>
    </xf>
    <xf numFmtId="49" fontId="7" fillId="50" borderId="25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25" xfId="0" applyNumberFormat="1" applyFont="1" applyFill="1" applyBorder="1" applyAlignment="1" applyProtection="1">
      <alignment horizontal="center" vertical="center" wrapText="1"/>
      <protection locked="0"/>
    </xf>
    <xf numFmtId="49" fontId="9" fillId="50" borderId="25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25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25" xfId="0" applyNumberFormat="1" applyFont="1" applyFill="1" applyBorder="1" applyAlignment="1" applyProtection="1">
      <alignment horizontal="center" vertical="center" wrapText="1"/>
      <protection locked="0"/>
    </xf>
    <xf numFmtId="49" fontId="7" fillId="50" borderId="25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25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25" xfId="0" applyNumberFormat="1" applyFont="1" applyFill="1" applyBorder="1" applyAlignment="1" applyProtection="1">
      <alignment horizontal="center" vertical="center"/>
      <protection locked="0"/>
    </xf>
    <xf numFmtId="49" fontId="10" fillId="50" borderId="25" xfId="0" applyNumberFormat="1" applyFont="1" applyFill="1" applyBorder="1" applyAlignment="1" applyProtection="1">
      <alignment horizontal="center" vertical="center"/>
      <protection locked="0"/>
    </xf>
    <xf numFmtId="49" fontId="7" fillId="4" borderId="25" xfId="0" applyNumberFormat="1" applyFont="1" applyFill="1" applyBorder="1" applyAlignment="1" applyProtection="1">
      <alignment horizontal="center" vertical="center"/>
      <protection locked="0"/>
    </xf>
    <xf numFmtId="49" fontId="7" fillId="50" borderId="25" xfId="0" applyNumberFormat="1" applyFont="1" applyFill="1" applyBorder="1" applyAlignment="1" applyProtection="1">
      <alignment horizontal="center" vertical="center"/>
      <protection locked="0"/>
    </xf>
    <xf numFmtId="49" fontId="9" fillId="50" borderId="25" xfId="0" applyNumberFormat="1" applyFont="1" applyFill="1" applyBorder="1" applyAlignment="1" applyProtection="1">
      <alignment horizontal="center" vertical="center"/>
      <protection locked="0"/>
    </xf>
    <xf numFmtId="49" fontId="10" fillId="50" borderId="17" xfId="0" applyNumberFormat="1" applyFont="1" applyFill="1" applyBorder="1" applyAlignment="1" applyProtection="1">
      <alignment horizontal="center" vertical="center" wrapText="1"/>
      <protection locked="0"/>
    </xf>
    <xf numFmtId="49" fontId="7" fillId="50" borderId="17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27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7" fillId="50" borderId="17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9" fillId="50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4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50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50" borderId="10" xfId="0" applyNumberFormat="1" applyFont="1" applyFill="1" applyBorder="1" applyAlignment="1" applyProtection="1">
      <alignment wrapText="1" readingOrder="1"/>
      <protection locked="0"/>
    </xf>
    <xf numFmtId="0" fontId="10" fillId="50" borderId="10" xfId="0" applyNumberFormat="1" applyFont="1" applyFill="1" applyBorder="1" applyAlignment="1" applyProtection="1">
      <alignment wrapText="1" readingOrder="1"/>
      <protection locked="0"/>
    </xf>
    <xf numFmtId="0" fontId="7" fillId="4" borderId="10" xfId="0" applyNumberFormat="1" applyFont="1" applyFill="1" applyBorder="1" applyAlignment="1" applyProtection="1">
      <alignment vertical="center" wrapText="1"/>
      <protection locked="0"/>
    </xf>
    <xf numFmtId="0" fontId="7" fillId="4" borderId="10" xfId="0" applyNumberFormat="1" applyFont="1" applyFill="1" applyBorder="1" applyAlignment="1" applyProtection="1">
      <alignment vertical="center" wrapText="1" readingOrder="1"/>
      <protection locked="0"/>
    </xf>
    <xf numFmtId="0" fontId="7" fillId="50" borderId="10" xfId="0" applyNumberFormat="1" applyFont="1" applyFill="1" applyBorder="1" applyAlignment="1" applyProtection="1">
      <alignment vertical="center" wrapText="1"/>
      <protection locked="0"/>
    </xf>
    <xf numFmtId="0" fontId="7" fillId="4" borderId="10" xfId="0" applyNumberFormat="1" applyFont="1" applyFill="1" applyBorder="1" applyAlignment="1" applyProtection="1">
      <alignment vertical="center" wrapText="1"/>
      <protection locked="0"/>
    </xf>
    <xf numFmtId="0" fontId="10" fillId="50" borderId="10" xfId="0" applyNumberFormat="1" applyFont="1" applyFill="1" applyBorder="1" applyAlignment="1" applyProtection="1">
      <alignment vertical="center" wrapText="1"/>
      <protection locked="0"/>
    </xf>
    <xf numFmtId="0" fontId="7" fillId="4" borderId="10" xfId="0" applyNumberFormat="1" applyFont="1" applyFill="1" applyBorder="1" applyAlignment="1" applyProtection="1">
      <alignment wrapText="1" readingOrder="1"/>
      <protection locked="0"/>
    </xf>
    <xf numFmtId="0" fontId="7" fillId="4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50" borderId="10" xfId="0" applyNumberFormat="1" applyFont="1" applyFill="1" applyBorder="1" applyAlignment="1" applyProtection="1">
      <alignment vertical="center" wrapText="1"/>
      <protection locked="0"/>
    </xf>
    <xf numFmtId="0" fontId="7" fillId="4" borderId="10" xfId="0" applyNumberFormat="1" applyFont="1" applyFill="1" applyBorder="1" applyAlignment="1" applyProtection="1">
      <alignment wrapText="1" readingOrder="1"/>
      <protection locked="0"/>
    </xf>
    <xf numFmtId="0" fontId="7" fillId="5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4" borderId="10" xfId="0" applyNumberFormat="1" applyFont="1" applyFill="1" applyBorder="1" applyAlignment="1" applyProtection="1">
      <alignment horizontal="left" wrapText="1" readingOrder="1"/>
      <protection locked="0"/>
    </xf>
    <xf numFmtId="0" fontId="7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27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20" xfId="0" applyNumberFormat="1" applyFont="1" applyFill="1" applyBorder="1" applyAlignment="1" applyProtection="1">
      <alignment horizontal="center" vertical="center"/>
      <protection locked="0"/>
    </xf>
    <xf numFmtId="0" fontId="7" fillId="4" borderId="20" xfId="0" applyNumberFormat="1" applyFont="1" applyFill="1" applyBorder="1" applyAlignment="1" applyProtection="1">
      <alignment horizontal="center" vertical="center"/>
      <protection locked="0"/>
    </xf>
    <xf numFmtId="0" fontId="7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50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26" fillId="50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20" xfId="0" applyNumberFormat="1" applyFont="1" applyFill="1" applyBorder="1" applyAlignment="1" applyProtection="1">
      <alignment horizontal="center" vertical="center"/>
      <protection locked="0"/>
    </xf>
    <xf numFmtId="0" fontId="7" fillId="50" borderId="10" xfId="0" applyNumberFormat="1" applyFont="1" applyFill="1" applyBorder="1" applyAlignment="1" applyProtection="1">
      <alignment vertical="center" wrapText="1" readingOrder="1"/>
      <protection locked="0"/>
    </xf>
    <xf numFmtId="0" fontId="57" fillId="50" borderId="10" xfId="0" applyNumberFormat="1" applyFont="1" applyFill="1" applyBorder="1" applyAlignment="1" applyProtection="1">
      <alignment vertical="center" wrapText="1"/>
      <protection locked="0"/>
    </xf>
    <xf numFmtId="0" fontId="7" fillId="50" borderId="10" xfId="0" applyNumberFormat="1" applyFont="1" applyFill="1" applyBorder="1" applyAlignment="1" applyProtection="1">
      <alignment vertical="center" wrapText="1" readingOrder="1"/>
      <protection locked="0"/>
    </xf>
    <xf numFmtId="0" fontId="7" fillId="50" borderId="27" xfId="0" applyFont="1" applyFill="1" applyBorder="1" applyAlignment="1">
      <alignment horizontal="center" vertical="center" wrapText="1"/>
    </xf>
    <xf numFmtId="49" fontId="10" fillId="50" borderId="24" xfId="0" applyNumberFormat="1" applyFont="1" applyFill="1" applyBorder="1" applyAlignment="1" applyProtection="1">
      <alignment horizontal="center" vertical="center" wrapText="1"/>
      <protection locked="0"/>
    </xf>
    <xf numFmtId="49" fontId="10" fillId="50" borderId="55" xfId="0" applyNumberFormat="1" applyFont="1" applyFill="1" applyBorder="1" applyAlignment="1" applyProtection="1">
      <alignment horizontal="left" vertical="center" wrapText="1" readingOrder="1"/>
      <protection locked="0"/>
    </xf>
    <xf numFmtId="49" fontId="10" fillId="50" borderId="76" xfId="0" applyNumberFormat="1" applyFont="1" applyFill="1" applyBorder="1" applyAlignment="1" applyProtection="1">
      <alignment horizontal="center" vertical="center" wrapText="1"/>
      <protection locked="0"/>
    </xf>
    <xf numFmtId="49" fontId="10" fillId="50" borderId="70" xfId="0" applyNumberFormat="1" applyFont="1" applyFill="1" applyBorder="1" applyAlignment="1" applyProtection="1">
      <alignment horizontal="center" vertical="center" wrapText="1"/>
      <protection locked="0"/>
    </xf>
    <xf numFmtId="49" fontId="7" fillId="50" borderId="19" xfId="0" applyNumberFormat="1" applyFont="1" applyFill="1" applyBorder="1" applyAlignment="1">
      <alignment horizontal="center" vertical="center"/>
    </xf>
    <xf numFmtId="49" fontId="7" fillId="50" borderId="23" xfId="0" applyNumberFormat="1" applyFont="1" applyFill="1" applyBorder="1" applyAlignment="1">
      <alignment horizontal="center" vertical="center"/>
    </xf>
    <xf numFmtId="49" fontId="7" fillId="4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>
      <alignment vertical="center" wrapText="1"/>
    </xf>
    <xf numFmtId="173" fontId="9" fillId="0" borderId="12" xfId="0" applyNumberFormat="1" applyFont="1" applyBorder="1" applyAlignment="1">
      <alignment horizontal="center" vertical="center" wrapText="1"/>
    </xf>
    <xf numFmtId="173" fontId="6" fillId="0" borderId="22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70" xfId="0" applyBorder="1" applyAlignment="1">
      <alignment horizontal="center" vertical="center" wrapText="1"/>
    </xf>
    <xf numFmtId="173" fontId="9" fillId="0" borderId="32" xfId="0" applyNumberFormat="1" applyFont="1" applyBorder="1" applyAlignment="1">
      <alignment horizontal="center" vertical="center" wrapText="1"/>
    </xf>
    <xf numFmtId="173" fontId="9" fillId="0" borderId="41" xfId="0" applyNumberFormat="1" applyFont="1" applyBorder="1" applyAlignment="1">
      <alignment horizontal="center" vertical="center" wrapText="1"/>
    </xf>
    <xf numFmtId="173" fontId="9" fillId="0" borderId="30" xfId="0" applyNumberFormat="1" applyFont="1" applyBorder="1" applyAlignment="1">
      <alignment horizontal="center" vertical="center" wrapText="1"/>
    </xf>
    <xf numFmtId="173" fontId="10" fillId="0" borderId="29" xfId="0" applyNumberFormat="1" applyFont="1" applyBorder="1" applyAlignment="1">
      <alignment horizontal="center" vertical="center" wrapText="1"/>
    </xf>
    <xf numFmtId="173" fontId="26" fillId="0" borderId="29" xfId="0" applyNumberFormat="1" applyFont="1" applyBorder="1" applyAlignment="1">
      <alignment horizontal="center" vertical="center" wrapText="1"/>
    </xf>
    <xf numFmtId="173" fontId="9" fillId="0" borderId="28" xfId="0" applyNumberFormat="1" applyFont="1" applyBorder="1" applyAlignment="1">
      <alignment horizontal="center" vertical="center" wrapText="1"/>
    </xf>
    <xf numFmtId="49" fontId="4" fillId="39" borderId="40" xfId="0" applyNumberFormat="1" applyFont="1" applyFill="1" applyBorder="1" applyAlignment="1">
      <alignment horizontal="center" vertical="center" wrapText="1"/>
    </xf>
    <xf numFmtId="0" fontId="12" fillId="50" borderId="59" xfId="0" applyNumberFormat="1" applyFont="1" applyFill="1" applyBorder="1" applyAlignment="1" applyProtection="1">
      <alignment horizontal="center" vertical="center"/>
      <protection locked="0"/>
    </xf>
    <xf numFmtId="0" fontId="12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50" borderId="10" xfId="0" applyNumberFormat="1" applyFont="1" applyFill="1" applyBorder="1" applyAlignment="1" applyProtection="1">
      <alignment horizontal="center" vertical="center"/>
      <protection locked="0"/>
    </xf>
    <xf numFmtId="0" fontId="12" fillId="50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3" xfId="0" applyNumberFormat="1" applyFont="1" applyFill="1" applyBorder="1" applyAlignment="1" applyProtection="1">
      <alignment horizontal="center" vertical="center"/>
      <protection locked="0"/>
    </xf>
    <xf numFmtId="0" fontId="4" fillId="0" borderId="43" xfId="0" applyNumberFormat="1" applyFont="1" applyFill="1" applyBorder="1" applyAlignment="1" applyProtection="1">
      <alignment horizontal="left" wrapText="1" readingOrder="1"/>
      <protection locked="0"/>
    </xf>
    <xf numFmtId="0" fontId="7" fillId="0" borderId="48" xfId="0" applyNumberFormat="1" applyFont="1" applyBorder="1" applyAlignment="1" applyProtection="1">
      <alignment horizontal="center" vertical="center" wrapText="1"/>
      <protection locked="0"/>
    </xf>
    <xf numFmtId="0" fontId="7" fillId="0" borderId="61" xfId="0" applyNumberFormat="1" applyFont="1" applyBorder="1" applyAlignment="1" applyProtection="1">
      <alignment horizontal="center" vertical="center" wrapText="1"/>
      <protection locked="0"/>
    </xf>
    <xf numFmtId="0" fontId="7" fillId="0" borderId="49" xfId="0" applyNumberFormat="1" applyFont="1" applyBorder="1" applyAlignment="1" applyProtection="1">
      <alignment horizontal="center" vertical="center" wrapText="1"/>
      <protection locked="0"/>
    </xf>
    <xf numFmtId="0" fontId="7" fillId="0" borderId="67" xfId="0" applyNumberFormat="1" applyFont="1" applyFill="1" applyBorder="1" applyAlignment="1" applyProtection="1">
      <alignment horizontal="center" vertical="center"/>
      <protection locked="0"/>
    </xf>
    <xf numFmtId="175" fontId="1" fillId="0" borderId="49" xfId="0" applyNumberFormat="1" applyFont="1" applyFill="1" applyBorder="1" applyAlignment="1" applyProtection="1">
      <alignment horizontal="center" vertical="center"/>
      <protection locked="0"/>
    </xf>
    <xf numFmtId="0" fontId="1" fillId="49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51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/>
      <protection locked="0"/>
    </xf>
    <xf numFmtId="0" fontId="27" fillId="0" borderId="11" xfId="0" applyNumberFormat="1" applyFont="1" applyBorder="1" applyAlignment="1" applyProtection="1">
      <alignment horizontal="center" vertical="center" wrapText="1"/>
      <protection locked="0"/>
    </xf>
    <xf numFmtId="0" fontId="5" fillId="49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45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5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49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11" xfId="0" applyNumberFormat="1" applyFont="1" applyFill="1" applyBorder="1" applyAlignment="1" applyProtection="1">
      <alignment horizontal="center" vertical="center"/>
      <protection locked="0"/>
    </xf>
    <xf numFmtId="0" fontId="6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11" xfId="0" applyNumberFormat="1" applyFont="1" applyFill="1" applyBorder="1" applyAlignment="1" applyProtection="1">
      <alignment horizontal="center" vertical="center" wrapText="1"/>
      <protection locked="0"/>
    </xf>
    <xf numFmtId="49" fontId="41" fillId="0" borderId="63" xfId="0" applyNumberFormat="1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center" vertical="center" wrapText="1"/>
    </xf>
    <xf numFmtId="0" fontId="12" fillId="50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49" borderId="2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0" fillId="51" borderId="25" xfId="0" applyNumberFormat="1" applyFont="1" applyFill="1" applyBorder="1" applyAlignment="1" applyProtection="1">
      <alignment horizontal="center" vertical="center" wrapText="1"/>
      <protection locked="0"/>
    </xf>
    <xf numFmtId="49" fontId="2" fillId="50" borderId="2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45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5" xfId="0" applyNumberFormat="1" applyFont="1" applyFill="1" applyBorder="1" applyAlignment="1" applyProtection="1">
      <alignment horizontal="center" vertical="center"/>
      <protection locked="0"/>
    </xf>
    <xf numFmtId="49" fontId="1" fillId="49" borderId="25" xfId="0" applyNumberFormat="1" applyFont="1" applyFill="1" applyBorder="1" applyAlignment="1" applyProtection="1">
      <alignment horizontal="center" vertical="center"/>
      <protection locked="0"/>
    </xf>
    <xf numFmtId="49" fontId="1" fillId="45" borderId="25" xfId="0" applyNumberFormat="1" applyFont="1" applyFill="1" applyBorder="1" applyAlignment="1" applyProtection="1">
      <alignment horizontal="center" vertical="center"/>
      <protection locked="0"/>
    </xf>
    <xf numFmtId="49" fontId="10" fillId="0" borderId="25" xfId="0" applyNumberFormat="1" applyFont="1" applyFill="1" applyBorder="1" applyAlignment="1" applyProtection="1">
      <alignment horizontal="center" vertical="center"/>
      <protection locked="0"/>
    </xf>
    <xf numFmtId="49" fontId="6" fillId="43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45" borderId="25" xfId="0" applyNumberFormat="1" applyFont="1" applyFill="1" applyBorder="1" applyAlignment="1" applyProtection="1">
      <alignment horizontal="center" vertical="center"/>
      <protection locked="0"/>
    </xf>
    <xf numFmtId="49" fontId="1" fillId="49" borderId="25" xfId="0" applyNumberFormat="1" applyFont="1" applyFill="1" applyBorder="1" applyAlignment="1" applyProtection="1">
      <alignment horizontal="center" vertical="center"/>
      <protection locked="0"/>
    </xf>
    <xf numFmtId="49" fontId="2" fillId="0" borderId="68" xfId="0" applyNumberFormat="1" applyFont="1" applyBorder="1" applyAlignment="1">
      <alignment horizontal="center" vertical="center" wrapText="1"/>
    </xf>
    <xf numFmtId="0" fontId="12" fillId="5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7" xfId="0" applyNumberFormat="1" applyFont="1" applyBorder="1" applyAlignment="1" applyProtection="1">
      <alignment horizontal="center" vertical="center" wrapText="1"/>
      <protection locked="0"/>
    </xf>
    <xf numFmtId="0" fontId="10" fillId="0" borderId="17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NumberFormat="1" applyBorder="1" applyAlignment="1" applyProtection="1">
      <alignment horizontal="center" vertical="center" wrapText="1"/>
      <protection locked="0"/>
    </xf>
    <xf numFmtId="0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51" borderId="17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45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NumberFormat="1" applyFont="1" applyBorder="1" applyAlignment="1" applyProtection="1">
      <alignment horizontal="center" vertical="center" wrapText="1"/>
      <protection locked="0"/>
    </xf>
    <xf numFmtId="0" fontId="6" fillId="43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0" applyNumberFormat="1" applyFont="1" applyBorder="1" applyAlignment="1" applyProtection="1">
      <alignment horizontal="center" vertical="center" wrapText="1"/>
      <protection locked="0"/>
    </xf>
    <xf numFmtId="0" fontId="1" fillId="49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7" xfId="0" applyNumberFormat="1" applyFont="1" applyBorder="1" applyAlignment="1" applyProtection="1">
      <alignment horizontal="center" vertical="center" wrapText="1"/>
      <protection locked="0"/>
    </xf>
    <xf numFmtId="49" fontId="1" fillId="0" borderId="33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wrapText="1" readingOrder="1"/>
      <protection locked="0"/>
    </xf>
    <xf numFmtId="0" fontId="12" fillId="50" borderId="10" xfId="0" applyNumberFormat="1" applyFont="1" applyFill="1" applyBorder="1" applyAlignment="1" applyProtection="1">
      <alignment wrapText="1" readingOrder="1"/>
      <protection locked="0"/>
    </xf>
    <xf numFmtId="0" fontId="1" fillId="49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5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0" xfId="0" applyNumberFormat="1" applyFont="1" applyFill="1" applyBorder="1" applyAlignment="1" applyProtection="1">
      <alignment wrapText="1" readingOrder="1"/>
      <protection locked="0"/>
    </xf>
    <xf numFmtId="0" fontId="8" fillId="0" borderId="10" xfId="0" applyNumberFormat="1" applyFont="1" applyFill="1" applyBorder="1" applyAlignment="1" applyProtection="1">
      <alignment wrapText="1" readingOrder="1"/>
      <protection locked="0"/>
    </xf>
    <xf numFmtId="0" fontId="9" fillId="0" borderId="10" xfId="0" applyNumberFormat="1" applyFont="1" applyFill="1" applyBorder="1" applyAlignment="1" applyProtection="1">
      <alignment wrapText="1" readingOrder="1"/>
      <protection locked="0"/>
    </xf>
    <xf numFmtId="0" fontId="1" fillId="0" borderId="10" xfId="0" applyNumberFormat="1" applyFont="1" applyFill="1" applyBorder="1" applyAlignment="1" applyProtection="1">
      <alignment wrapText="1" readingOrder="1"/>
      <protection locked="0"/>
    </xf>
    <xf numFmtId="0" fontId="2" fillId="0" borderId="10" xfId="0" applyNumberFormat="1" applyFont="1" applyBorder="1" applyAlignment="1" applyProtection="1">
      <alignment vertical="center" wrapText="1"/>
      <protection locked="0"/>
    </xf>
    <xf numFmtId="0" fontId="2" fillId="0" borderId="10" xfId="0" applyNumberFormat="1" applyFont="1" applyBorder="1" applyAlignment="1" applyProtection="1">
      <alignment vertical="center" wrapText="1"/>
      <protection locked="0"/>
    </xf>
    <xf numFmtId="0" fontId="10" fillId="0" borderId="10" xfId="0" applyNumberFormat="1" applyFont="1" applyBorder="1" applyAlignment="1" applyProtection="1">
      <alignment vertical="center" wrapText="1"/>
      <protection locked="0"/>
    </xf>
    <xf numFmtId="0" fontId="7" fillId="0" borderId="10" xfId="0" applyNumberFormat="1" applyFont="1" applyBorder="1" applyAlignment="1" applyProtection="1">
      <alignment vertical="center" wrapText="1"/>
      <protection locked="0"/>
    </xf>
    <xf numFmtId="0" fontId="10" fillId="0" borderId="10" xfId="0" applyNumberFormat="1" applyFont="1" applyFill="1" applyBorder="1" applyAlignment="1" applyProtection="1">
      <alignment wrapText="1" readingOrder="1"/>
      <protection locked="0"/>
    </xf>
    <xf numFmtId="0" fontId="8" fillId="0" borderId="10" xfId="0" applyNumberFormat="1" applyFont="1" applyFill="1" applyBorder="1" applyAlignment="1" applyProtection="1">
      <alignment wrapText="1" readingOrder="1"/>
      <protection locked="0"/>
    </xf>
    <xf numFmtId="0" fontId="1" fillId="51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5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0" applyNumberFormat="1" applyFont="1" applyFill="1" applyBorder="1" applyAlignment="1" applyProtection="1">
      <alignment wrapText="1" readingOrder="1"/>
      <protection locked="0"/>
    </xf>
    <xf numFmtId="0" fontId="4" fillId="0" borderId="10" xfId="0" applyNumberFormat="1" applyFont="1" applyFill="1" applyBorder="1" applyAlignment="1" applyProtection="1">
      <alignment wrapText="1" readingOrder="1"/>
      <protection locked="0"/>
    </xf>
    <xf numFmtId="0" fontId="1" fillId="0" borderId="10" xfId="0" applyNumberFormat="1" applyFont="1" applyFill="1" applyBorder="1" applyAlignment="1" applyProtection="1">
      <alignment wrapText="1" readingOrder="1"/>
      <protection locked="0"/>
    </xf>
    <xf numFmtId="0" fontId="6" fillId="45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0" borderId="10" xfId="0" applyNumberFormat="1" applyFont="1" applyFill="1" applyBorder="1" applyAlignment="1" applyProtection="1">
      <alignment horizontal="left" wrapText="1" readingOrder="1"/>
      <protection locked="0"/>
    </xf>
    <xf numFmtId="0" fontId="1" fillId="0" borderId="10" xfId="0" applyNumberFormat="1" applyFont="1" applyBorder="1" applyAlignment="1" applyProtection="1">
      <alignment vertical="center" wrapText="1"/>
      <protection locked="0"/>
    </xf>
    <xf numFmtId="0" fontId="6" fillId="43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42" borderId="10" xfId="0" applyNumberFormat="1" applyFont="1" applyFill="1" applyBorder="1" applyAlignment="1" applyProtection="1">
      <alignment vertical="center" wrapText="1"/>
      <protection locked="0"/>
    </xf>
    <xf numFmtId="0" fontId="7" fillId="0" borderId="10" xfId="0" applyNumberFormat="1" applyFont="1" applyBorder="1" applyAlignment="1" applyProtection="1">
      <alignment vertical="center" wrapText="1"/>
      <protection locked="0"/>
    </xf>
    <xf numFmtId="0" fontId="1" fillId="49" borderId="10" xfId="0" applyNumberFormat="1" applyFont="1" applyFill="1" applyBorder="1" applyAlignment="1" applyProtection="1">
      <alignment vertical="center" wrapText="1"/>
      <protection locked="0"/>
    </xf>
    <xf numFmtId="0" fontId="7" fillId="0" borderId="34" xfId="0" applyNumberFormat="1" applyFont="1" applyBorder="1" applyAlignment="1" applyProtection="1">
      <alignment vertical="center" wrapText="1"/>
      <protection locked="0"/>
    </xf>
    <xf numFmtId="49" fontId="3" fillId="0" borderId="66" xfId="0" applyNumberFormat="1" applyFont="1" applyBorder="1" applyAlignment="1">
      <alignment horizontal="center" vertical="center" wrapText="1"/>
    </xf>
    <xf numFmtId="0" fontId="12" fillId="50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2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51" borderId="20" xfId="0" applyFont="1" applyFill="1" applyBorder="1" applyAlignment="1">
      <alignment horizontal="center" vertical="center" wrapText="1"/>
    </xf>
    <xf numFmtId="0" fontId="10" fillId="50" borderId="20" xfId="0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20" xfId="0" applyNumberFormat="1" applyFont="1" applyFill="1" applyBorder="1" applyAlignment="1" applyProtection="1">
      <alignment horizontal="center" vertical="center"/>
      <protection locked="0"/>
    </xf>
    <xf numFmtId="0" fontId="5" fillId="49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49" borderId="20" xfId="0" applyNumberFormat="1" applyFont="1" applyFill="1" applyBorder="1" applyAlignment="1" applyProtection="1">
      <alignment horizontal="center" vertical="center"/>
      <protection locked="0"/>
    </xf>
    <xf numFmtId="0" fontId="0" fillId="49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NumberFormat="1" applyFont="1" applyFill="1" applyBorder="1" applyAlignment="1" applyProtection="1">
      <alignment horizontal="center" vertical="center"/>
      <protection locked="0"/>
    </xf>
    <xf numFmtId="0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43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20" xfId="0" applyNumberFormat="1" applyFont="1" applyFill="1" applyBorder="1" applyAlignment="1" applyProtection="1">
      <alignment horizontal="center" vertical="center"/>
      <protection locked="0"/>
    </xf>
    <xf numFmtId="0" fontId="27" fillId="0" borderId="20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73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wrapText="1"/>
    </xf>
    <xf numFmtId="175" fontId="1" fillId="49" borderId="10" xfId="0" applyNumberFormat="1" applyFont="1" applyFill="1" applyBorder="1" applyAlignment="1" applyProtection="1">
      <alignment horizontal="center" vertical="center"/>
      <protection locked="0"/>
    </xf>
    <xf numFmtId="175" fontId="1" fillId="51" borderId="10" xfId="0" applyNumberFormat="1" applyFont="1" applyFill="1" applyBorder="1" applyAlignment="1" applyProtection="1">
      <alignment horizontal="center" vertical="center"/>
      <protection locked="0"/>
    </xf>
    <xf numFmtId="175" fontId="6" fillId="0" borderId="10" xfId="0" applyNumberFormat="1" applyFont="1" applyFill="1" applyBorder="1" applyAlignment="1" applyProtection="1">
      <alignment horizontal="center" vertical="center"/>
      <protection locked="0"/>
    </xf>
    <xf numFmtId="175" fontId="6" fillId="43" borderId="10" xfId="0" applyNumberFormat="1" applyFont="1" applyFill="1" applyBorder="1" applyAlignment="1" applyProtection="1">
      <alignment horizontal="center" vertical="center"/>
      <protection locked="0"/>
    </xf>
    <xf numFmtId="175" fontId="1" fillId="49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45" xfId="0" applyNumberFormat="1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center" vertical="center"/>
    </xf>
    <xf numFmtId="49" fontId="7" fillId="0" borderId="69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59" xfId="0" applyFont="1" applyBorder="1" applyAlignment="1">
      <alignment horizontal="center"/>
    </xf>
    <xf numFmtId="0" fontId="12" fillId="50" borderId="45" xfId="0" applyNumberFormat="1" applyFont="1" applyFill="1" applyBorder="1" applyAlignment="1" applyProtection="1">
      <alignment horizontal="center" vertical="center" wrapText="1"/>
      <protection locked="0"/>
    </xf>
    <xf numFmtId="0" fontId="12" fillId="50" borderId="59" xfId="0" applyNumberFormat="1" applyFont="1" applyFill="1" applyBorder="1" applyAlignment="1" applyProtection="1">
      <alignment wrapText="1" readingOrder="1"/>
      <protection locked="0"/>
    </xf>
    <xf numFmtId="0" fontId="12" fillId="50" borderId="69" xfId="0" applyNumberFormat="1" applyFont="1" applyFill="1" applyBorder="1" applyAlignment="1" applyProtection="1">
      <alignment horizontal="center" vertical="center" wrapText="1"/>
      <protection locked="0"/>
    </xf>
    <xf numFmtId="0" fontId="12" fillId="50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49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55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9" borderId="76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41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70" xfId="0" applyNumberFormat="1" applyFont="1" applyFill="1" applyBorder="1" applyAlignment="1" applyProtection="1">
      <alignment horizontal="center" vertical="center" wrapText="1"/>
      <protection locked="0"/>
    </xf>
    <xf numFmtId="175" fontId="1" fillId="49" borderId="55" xfId="0" applyNumberFormat="1" applyFont="1" applyFill="1" applyBorder="1" applyAlignment="1" applyProtection="1">
      <alignment horizontal="center" vertical="center"/>
      <protection locked="0"/>
    </xf>
    <xf numFmtId="0" fontId="7" fillId="0" borderId="59" xfId="0" applyFont="1" applyBorder="1" applyAlignment="1">
      <alignment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4" fillId="31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22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31" borderId="51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18" xfId="0" applyNumberFormat="1" applyFont="1" applyFill="1" applyBorder="1" applyAlignment="1" applyProtection="1">
      <alignment horizontal="center" vertical="center" wrapText="1"/>
      <protection locked="0"/>
    </xf>
    <xf numFmtId="175" fontId="1" fillId="31" borderId="22" xfId="0" applyNumberFormat="1" applyFont="1" applyFill="1" applyBorder="1" applyAlignment="1" applyProtection="1">
      <alignment horizontal="center" vertical="center"/>
      <protection locked="0"/>
    </xf>
    <xf numFmtId="49" fontId="1" fillId="31" borderId="13" xfId="0" applyNumberFormat="1" applyFont="1" applyFill="1" applyBorder="1" applyAlignment="1" applyProtection="1">
      <alignment horizontal="center" vertical="center"/>
      <protection locked="0"/>
    </xf>
    <xf numFmtId="0" fontId="1" fillId="31" borderId="22" xfId="0" applyNumberFormat="1" applyFont="1" applyFill="1" applyBorder="1" applyAlignment="1" applyProtection="1">
      <alignment horizontal="center" vertical="center"/>
      <protection locked="0"/>
    </xf>
    <xf numFmtId="0" fontId="1" fillId="31" borderId="51" xfId="0" applyNumberFormat="1" applyFont="1" applyFill="1" applyBorder="1" applyAlignment="1" applyProtection="1">
      <alignment horizontal="center" vertical="center"/>
      <protection locked="0"/>
    </xf>
    <xf numFmtId="0" fontId="1" fillId="31" borderId="23" xfId="0" applyNumberFormat="1" applyFont="1" applyFill="1" applyBorder="1" applyAlignment="1" applyProtection="1">
      <alignment horizontal="center" vertical="center"/>
      <protection locked="0"/>
    </xf>
    <xf numFmtId="0" fontId="1" fillId="31" borderId="18" xfId="0" applyNumberFormat="1" applyFont="1" applyFill="1" applyBorder="1" applyAlignment="1" applyProtection="1">
      <alignment horizontal="center" vertical="center"/>
      <protection locked="0"/>
    </xf>
    <xf numFmtId="175" fontId="1" fillId="31" borderId="22" xfId="0" applyNumberFormat="1" applyFont="1" applyFill="1" applyBorder="1" applyAlignment="1" applyProtection="1">
      <alignment horizontal="center"/>
      <protection locked="0"/>
    </xf>
    <xf numFmtId="49" fontId="1" fillId="31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22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31" borderId="51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18" xfId="0" applyNumberFormat="1" applyFont="1" applyFill="1" applyBorder="1" applyAlignment="1" applyProtection="1">
      <alignment horizontal="center" vertical="center" wrapText="1"/>
      <protection locked="0"/>
    </xf>
    <xf numFmtId="175" fontId="1" fillId="31" borderId="22" xfId="0" applyNumberFormat="1" applyFont="1" applyFill="1" applyBorder="1" applyAlignment="1" applyProtection="1">
      <alignment horizontal="center" vertical="center"/>
      <protection locked="0"/>
    </xf>
    <xf numFmtId="49" fontId="1" fillId="52" borderId="24" xfId="0" applyNumberFormat="1" applyFont="1" applyFill="1" applyBorder="1" applyAlignment="1" applyProtection="1">
      <alignment horizontal="center" vertical="center"/>
      <protection locked="0"/>
    </xf>
    <xf numFmtId="0" fontId="1" fillId="52" borderId="55" xfId="0" applyNumberFormat="1" applyFont="1" applyFill="1" applyBorder="1" applyAlignment="1" applyProtection="1">
      <alignment horizontal="center" vertical="center"/>
      <protection locked="0"/>
    </xf>
    <xf numFmtId="0" fontId="1" fillId="52" borderId="76" xfId="0" applyNumberFormat="1" applyFont="1" applyFill="1" applyBorder="1" applyAlignment="1" applyProtection="1">
      <alignment horizontal="center" vertical="center"/>
      <protection locked="0"/>
    </xf>
    <xf numFmtId="0" fontId="1" fillId="52" borderId="41" xfId="0" applyNumberFormat="1" applyFont="1" applyFill="1" applyBorder="1" applyAlignment="1" applyProtection="1">
      <alignment horizontal="center" vertical="center"/>
      <protection locked="0"/>
    </xf>
    <xf numFmtId="0" fontId="1" fillId="52" borderId="70" xfId="0" applyNumberFormat="1" applyFont="1" applyFill="1" applyBorder="1" applyAlignment="1" applyProtection="1">
      <alignment horizontal="center" vertical="center"/>
      <protection locked="0"/>
    </xf>
    <xf numFmtId="175" fontId="1" fillId="52" borderId="55" xfId="0" applyNumberFormat="1" applyFont="1" applyFill="1" applyBorder="1" applyAlignment="1" applyProtection="1">
      <alignment horizontal="center"/>
      <protection locked="0"/>
    </xf>
    <xf numFmtId="49" fontId="1" fillId="52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52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52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52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52" borderId="20" xfId="0" applyNumberFormat="1" applyFont="1" applyFill="1" applyBorder="1" applyAlignment="1" applyProtection="1">
      <alignment horizontal="center" vertical="center" wrapText="1"/>
      <protection locked="0"/>
    </xf>
    <xf numFmtId="175" fontId="1" fillId="52" borderId="10" xfId="0" applyNumberFormat="1" applyFont="1" applyFill="1" applyBorder="1" applyAlignment="1" applyProtection="1">
      <alignment horizontal="center" vertical="center"/>
      <protection locked="0"/>
    </xf>
    <xf numFmtId="0" fontId="1" fillId="52" borderId="10" xfId="0" applyNumberFormat="1" applyFont="1" applyFill="1" applyBorder="1" applyAlignment="1" applyProtection="1">
      <alignment wrapText="1" readingOrder="1"/>
      <protection locked="0"/>
    </xf>
    <xf numFmtId="0" fontId="1" fillId="52" borderId="25" xfId="0" applyFont="1" applyFill="1" applyBorder="1" applyAlignment="1">
      <alignment horizontal="center" vertical="center" wrapText="1"/>
    </xf>
    <xf numFmtId="0" fontId="1" fillId="52" borderId="10" xfId="0" applyFont="1" applyFill="1" applyBorder="1" applyAlignment="1">
      <alignment vertical="center" wrapText="1"/>
    </xf>
    <xf numFmtId="0" fontId="1" fillId="52" borderId="17" xfId="0" applyFont="1" applyFill="1" applyBorder="1" applyAlignment="1">
      <alignment horizontal="center" vertical="center" wrapText="1"/>
    </xf>
    <xf numFmtId="0" fontId="1" fillId="52" borderId="11" xfId="0" applyFont="1" applyFill="1" applyBorder="1" applyAlignment="1">
      <alignment horizontal="center" vertical="center" wrapText="1"/>
    </xf>
    <xf numFmtId="0" fontId="1" fillId="52" borderId="20" xfId="0" applyFont="1" applyFill="1" applyBorder="1" applyAlignment="1">
      <alignment horizontal="center" vertical="center" wrapText="1"/>
    </xf>
    <xf numFmtId="175" fontId="1" fillId="52" borderId="10" xfId="0" applyNumberFormat="1" applyFont="1" applyFill="1" applyBorder="1" applyAlignment="1">
      <alignment horizontal="center" vertical="center" wrapText="1"/>
    </xf>
    <xf numFmtId="0" fontId="1" fillId="52" borderId="10" xfId="0" applyNumberFormat="1" applyFont="1" applyFill="1" applyBorder="1" applyAlignment="1" applyProtection="1">
      <alignment vertical="center" wrapText="1"/>
      <protection locked="0"/>
    </xf>
    <xf numFmtId="0" fontId="5" fillId="52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52" borderId="11" xfId="0" applyNumberFormat="1" applyFont="1" applyFill="1" applyBorder="1" applyAlignment="1" applyProtection="1">
      <alignment horizontal="center" vertical="center"/>
      <protection locked="0"/>
    </xf>
    <xf numFmtId="0" fontId="1" fillId="52" borderId="20" xfId="0" applyNumberFormat="1" applyFont="1" applyFill="1" applyBorder="1" applyAlignment="1" applyProtection="1">
      <alignment horizontal="center" vertical="center"/>
      <protection locked="0"/>
    </xf>
    <xf numFmtId="0" fontId="0" fillId="52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52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52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52" borderId="25" xfId="0" applyNumberFormat="1" applyFont="1" applyFill="1" applyBorder="1" applyAlignment="1" applyProtection="1">
      <alignment horizontal="center" vertical="center"/>
      <protection locked="0"/>
    </xf>
    <xf numFmtId="0" fontId="5" fillId="52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52" borderId="20" xfId="0" applyNumberFormat="1" applyFont="1" applyFill="1" applyBorder="1" applyAlignment="1" applyProtection="1">
      <alignment horizontal="center" vertical="center"/>
      <protection locked="0"/>
    </xf>
    <xf numFmtId="49" fontId="1" fillId="52" borderId="25" xfId="0" applyNumberFormat="1" applyFont="1" applyFill="1" applyBorder="1" applyAlignment="1" applyProtection="1">
      <alignment horizontal="center" vertical="center"/>
      <protection locked="0"/>
    </xf>
    <xf numFmtId="0" fontId="1" fillId="52" borderId="10" xfId="0" applyNumberFormat="1" applyFont="1" applyFill="1" applyBorder="1" applyAlignment="1" applyProtection="1">
      <alignment vertical="center" wrapText="1"/>
      <protection locked="0"/>
    </xf>
    <xf numFmtId="0" fontId="1" fillId="52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52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52" borderId="20" xfId="0" applyNumberFormat="1" applyFont="1" applyFill="1" applyBorder="1" applyAlignment="1" applyProtection="1">
      <alignment horizontal="center" vertical="center"/>
      <protection locked="0"/>
    </xf>
    <xf numFmtId="175" fontId="1" fillId="52" borderId="10" xfId="0" applyNumberFormat="1" applyFont="1" applyFill="1" applyBorder="1" applyAlignment="1" applyProtection="1">
      <alignment horizontal="center" vertical="center"/>
      <protection locked="0"/>
    </xf>
    <xf numFmtId="49" fontId="10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20" xfId="0" applyNumberFormat="1" applyFont="1" applyFill="1" applyBorder="1" applyAlignment="1" applyProtection="1">
      <alignment horizontal="center" vertical="center" wrapText="1"/>
      <protection locked="0"/>
    </xf>
    <xf numFmtId="175" fontId="1" fillId="4" borderId="10" xfId="0" applyNumberFormat="1" applyFont="1" applyFill="1" applyBorder="1" applyAlignment="1" applyProtection="1">
      <alignment horizontal="center" vertical="center"/>
      <protection locked="0"/>
    </xf>
    <xf numFmtId="49" fontId="10" fillId="4" borderId="25" xfId="0" applyNumberFormat="1" applyFont="1" applyFill="1" applyBorder="1" applyAlignment="1" applyProtection="1">
      <alignment horizontal="center" vertical="center"/>
      <protection locked="0"/>
    </xf>
    <xf numFmtId="0" fontId="2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1" xfId="0" applyNumberFormat="1" applyFont="1" applyFill="1" applyBorder="1" applyAlignment="1" applyProtection="1">
      <alignment horizontal="center" vertical="center" wrapText="1"/>
      <protection locked="0"/>
    </xf>
    <xf numFmtId="175" fontId="2" fillId="4" borderId="10" xfId="0" applyNumberFormat="1" applyFont="1" applyFill="1" applyBorder="1" applyAlignment="1" applyProtection="1">
      <alignment horizontal="center" vertical="center"/>
      <protection locked="0"/>
    </xf>
    <xf numFmtId="0" fontId="2" fillId="4" borderId="10" xfId="0" applyNumberFormat="1" applyFont="1" applyFill="1" applyBorder="1" applyAlignment="1" applyProtection="1">
      <alignment horizontal="left" wrapText="1" readingOrder="1"/>
      <protection locked="0"/>
    </xf>
    <xf numFmtId="0" fontId="1" fillId="4" borderId="11" xfId="0" applyNumberFormat="1" applyFont="1" applyFill="1" applyBorder="1" applyAlignment="1" applyProtection="1">
      <alignment horizontal="center" vertical="center"/>
      <protection locked="0"/>
    </xf>
    <xf numFmtId="0" fontId="1" fillId="4" borderId="20" xfId="0" applyNumberFormat="1" applyFont="1" applyFill="1" applyBorder="1" applyAlignment="1" applyProtection="1">
      <alignment horizontal="center" vertical="center"/>
      <protection locked="0"/>
    </xf>
    <xf numFmtId="49" fontId="1" fillId="52" borderId="41" xfId="0" applyNumberFormat="1" applyFont="1" applyFill="1" applyBorder="1" applyAlignment="1" applyProtection="1">
      <alignment horizontal="center" vertical="center"/>
      <protection locked="0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49" fontId="2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51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52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wrapText="1" readingOrder="1"/>
      <protection locked="0"/>
    </xf>
    <xf numFmtId="0" fontId="7" fillId="50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10" xfId="0" applyNumberFormat="1" applyFont="1" applyFill="1" applyBorder="1" applyAlignment="1" applyProtection="1">
      <alignment wrapText="1" readingOrder="1"/>
      <protection locked="0"/>
    </xf>
    <xf numFmtId="173" fontId="1" fillId="0" borderId="56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right"/>
    </xf>
    <xf numFmtId="49" fontId="12" fillId="0" borderId="14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vertical="center" wrapText="1"/>
    </xf>
    <xf numFmtId="173" fontId="58" fillId="0" borderId="25" xfId="0" applyNumberFormat="1" applyFont="1" applyBorder="1" applyAlignment="1">
      <alignment horizontal="center" vertical="center" wrapText="1"/>
    </xf>
    <xf numFmtId="173" fontId="0" fillId="0" borderId="14" xfId="0" applyNumberFormat="1" applyFont="1" applyBorder="1" applyAlignment="1">
      <alignment horizontal="center" vertical="center"/>
    </xf>
    <xf numFmtId="173" fontId="0" fillId="0" borderId="11" xfId="0" applyNumberFormat="1" applyFont="1" applyBorder="1" applyAlignment="1">
      <alignment horizontal="center" vertical="center"/>
    </xf>
    <xf numFmtId="173" fontId="0" fillId="0" borderId="29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vertical="center" wrapText="1"/>
    </xf>
    <xf numFmtId="49" fontId="15" fillId="34" borderId="13" xfId="0" applyNumberFormat="1" applyFont="1" applyFill="1" applyBorder="1" applyAlignment="1">
      <alignment horizontal="center" vertical="center" wrapText="1"/>
    </xf>
    <xf numFmtId="49" fontId="15" fillId="37" borderId="26" xfId="0" applyNumberFormat="1" applyFont="1" applyFill="1" applyBorder="1" applyAlignment="1">
      <alignment horizontal="center" vertical="center" wrapText="1"/>
    </xf>
    <xf numFmtId="49" fontId="13" fillId="36" borderId="13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center" vertical="center" wrapText="1"/>
    </xf>
    <xf numFmtId="49" fontId="49" fillId="0" borderId="25" xfId="0" applyNumberFormat="1" applyFont="1" applyBorder="1" applyAlignment="1">
      <alignment horizontal="center" vertical="center" wrapText="1"/>
    </xf>
    <xf numFmtId="49" fontId="13" fillId="0" borderId="25" xfId="0" applyNumberFormat="1" applyFont="1" applyBorder="1" applyAlignment="1">
      <alignment horizontal="center" vertical="center" wrapText="1"/>
    </xf>
    <xf numFmtId="49" fontId="12" fillId="0" borderId="25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3" fillId="36" borderId="26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49" fontId="19" fillId="0" borderId="45" xfId="0" applyNumberFormat="1" applyFont="1" applyBorder="1" applyAlignment="1">
      <alignment horizontal="center" vertical="center" wrapText="1"/>
    </xf>
    <xf numFmtId="49" fontId="19" fillId="0" borderId="24" xfId="0" applyNumberFormat="1" applyFont="1" applyFill="1" applyBorder="1" applyAlignment="1">
      <alignment horizontal="center" vertical="center" wrapText="1"/>
    </xf>
    <xf numFmtId="49" fontId="19" fillId="37" borderId="13" xfId="0" applyNumberFormat="1" applyFont="1" applyFill="1" applyBorder="1" applyAlignment="1">
      <alignment horizontal="center" vertical="center" wrapText="1"/>
    </xf>
    <xf numFmtId="49" fontId="14" fillId="36" borderId="13" xfId="0" applyNumberFormat="1" applyFont="1" applyFill="1" applyBorder="1" applyAlignment="1">
      <alignment horizontal="center" vertical="center" wrapText="1"/>
    </xf>
    <xf numFmtId="49" fontId="14" fillId="0" borderId="46" xfId="0" applyNumberFormat="1" applyFont="1" applyFill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49" fontId="33" fillId="0" borderId="26" xfId="0" applyNumberFormat="1" applyFont="1" applyFill="1" applyBorder="1" applyAlignment="1">
      <alignment horizontal="center" vertical="center" wrapText="1"/>
    </xf>
    <xf numFmtId="49" fontId="13" fillId="0" borderId="46" xfId="0" applyNumberFormat="1" applyFont="1" applyFill="1" applyBorder="1" applyAlignment="1">
      <alignment horizontal="center" vertical="center" wrapText="1"/>
    </xf>
    <xf numFmtId="49" fontId="33" fillId="0" borderId="24" xfId="0" applyNumberFormat="1" applyFont="1" applyFill="1" applyBorder="1" applyAlignment="1">
      <alignment horizontal="center" vertical="center" wrapText="1"/>
    </xf>
    <xf numFmtId="49" fontId="19" fillId="0" borderId="26" xfId="0" applyNumberFormat="1" applyFont="1" applyFill="1" applyBorder="1" applyAlignment="1">
      <alignment horizontal="center" vertical="center" wrapText="1"/>
    </xf>
    <xf numFmtId="49" fontId="13" fillId="0" borderId="25" xfId="0" applyNumberFormat="1" applyFont="1" applyFill="1" applyBorder="1" applyAlignment="1">
      <alignment horizontal="center" vertical="center" wrapText="1"/>
    </xf>
    <xf numFmtId="49" fontId="19" fillId="0" borderId="40" xfId="0" applyNumberFormat="1" applyFont="1" applyBorder="1" applyAlignment="1">
      <alignment horizontal="center" vertical="center" wrapText="1"/>
    </xf>
    <xf numFmtId="49" fontId="19" fillId="0" borderId="40" xfId="0" applyNumberFormat="1" applyFont="1" applyFill="1" applyBorder="1" applyAlignment="1">
      <alignment horizontal="center" vertical="center" wrapText="1"/>
    </xf>
    <xf numFmtId="49" fontId="15" fillId="34" borderId="44" xfId="0" applyNumberFormat="1" applyFont="1" applyFill="1" applyBorder="1" applyAlignment="1">
      <alignment horizontal="center" vertical="center" wrapText="1"/>
    </xf>
    <xf numFmtId="49" fontId="16" fillId="36" borderId="25" xfId="0" applyNumberFormat="1" applyFont="1" applyFill="1" applyBorder="1" applyAlignment="1">
      <alignment horizontal="center" vertical="center" wrapText="1"/>
    </xf>
    <xf numFmtId="49" fontId="13" fillId="36" borderId="25" xfId="0" applyNumberFormat="1" applyFont="1" applyFill="1" applyBorder="1" applyAlignment="1">
      <alignment horizontal="center" vertical="center" wrapText="1"/>
    </xf>
    <xf numFmtId="49" fontId="21" fillId="37" borderId="25" xfId="0" applyNumberFormat="1" applyFont="1" applyFill="1" applyBorder="1" applyAlignment="1">
      <alignment horizontal="center" vertical="center" wrapText="1"/>
    </xf>
    <xf numFmtId="49" fontId="19" fillId="0" borderId="24" xfId="0" applyNumberFormat="1" applyFont="1" applyBorder="1" applyAlignment="1">
      <alignment horizontal="center" vertical="center" wrapText="1"/>
    </xf>
    <xf numFmtId="49" fontId="19" fillId="0" borderId="45" xfId="0" applyNumberFormat="1" applyFont="1" applyBorder="1" applyAlignment="1">
      <alignment horizontal="center" vertical="center" wrapText="1"/>
    </xf>
    <xf numFmtId="0" fontId="49" fillId="0" borderId="78" xfId="0" applyFont="1" applyBorder="1" applyAlignment="1">
      <alignment vertical="top" wrapText="1"/>
    </xf>
    <xf numFmtId="0" fontId="33" fillId="0" borderId="78" xfId="0" applyFont="1" applyBorder="1" applyAlignment="1">
      <alignment vertical="top" wrapText="1"/>
    </xf>
    <xf numFmtId="0" fontId="33" fillId="0" borderId="78" xfId="0" applyFont="1" applyBorder="1" applyAlignment="1">
      <alignment horizontal="left" vertical="top" wrapText="1"/>
    </xf>
    <xf numFmtId="0" fontId="30" fillId="0" borderId="31" xfId="0" applyFont="1" applyFill="1" applyBorder="1" applyAlignment="1">
      <alignment vertical="top" wrapText="1"/>
    </xf>
    <xf numFmtId="0" fontId="33" fillId="0" borderId="78" xfId="0" applyFont="1" applyFill="1" applyBorder="1" applyAlignment="1">
      <alignment vertical="top" wrapText="1"/>
    </xf>
    <xf numFmtId="0" fontId="33" fillId="0" borderId="0" xfId="0" applyFont="1" applyFill="1" applyBorder="1" applyAlignment="1">
      <alignment vertical="top" wrapText="1"/>
    </xf>
    <xf numFmtId="0" fontId="30" fillId="0" borderId="79" xfId="0" applyFont="1" applyFill="1" applyBorder="1" applyAlignment="1">
      <alignment vertical="top" wrapText="1"/>
    </xf>
    <xf numFmtId="0" fontId="30" fillId="0" borderId="78" xfId="0" applyFont="1" applyFill="1" applyBorder="1" applyAlignment="1">
      <alignment vertical="top" wrapText="1"/>
    </xf>
    <xf numFmtId="0" fontId="30" fillId="0" borderId="78" xfId="0" applyFont="1" applyBorder="1" applyAlignment="1">
      <alignment vertical="top" wrapText="1"/>
    </xf>
    <xf numFmtId="0" fontId="33" fillId="0" borderId="78" xfId="0" applyFont="1" applyBorder="1" applyAlignment="1">
      <alignment vertical="center" wrapText="1"/>
    </xf>
    <xf numFmtId="0" fontId="30" fillId="0" borderId="0" xfId="0" applyFont="1" applyBorder="1" applyAlignment="1">
      <alignment vertical="top" wrapText="1"/>
    </xf>
    <xf numFmtId="0" fontId="33" fillId="0" borderId="60" xfId="0" applyFont="1" applyBorder="1" applyAlignment="1">
      <alignment vertical="top" wrapText="1"/>
    </xf>
    <xf numFmtId="0" fontId="33" fillId="0" borderId="54" xfId="0" applyFont="1" applyBorder="1" applyAlignment="1">
      <alignment vertical="top" wrapText="1"/>
    </xf>
    <xf numFmtId="0" fontId="49" fillId="0" borderId="29" xfId="0" applyFont="1" applyBorder="1" applyAlignment="1">
      <alignment horizontal="center" vertical="center" wrapText="1"/>
    </xf>
    <xf numFmtId="0" fontId="0" fillId="0" borderId="86" xfId="0" applyBorder="1" applyAlignment="1">
      <alignment/>
    </xf>
    <xf numFmtId="173" fontId="9" fillId="0" borderId="11" xfId="0" applyNumberFormat="1" applyFont="1" applyBorder="1" applyAlignment="1">
      <alignment horizontal="center" vertical="center" wrapText="1"/>
    </xf>
    <xf numFmtId="173" fontId="36" fillId="0" borderId="78" xfId="0" applyNumberFormat="1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36" fillId="0" borderId="78" xfId="0" applyFont="1" applyBorder="1" applyAlignment="1">
      <alignment horizontal="center" vertical="center" wrapText="1"/>
    </xf>
    <xf numFmtId="173" fontId="10" fillId="0" borderId="59" xfId="0" applyNumberFormat="1" applyFont="1" applyBorder="1" applyAlignment="1">
      <alignment horizontal="center" vertical="center" wrapText="1"/>
    </xf>
    <xf numFmtId="173" fontId="26" fillId="0" borderId="59" xfId="0" applyNumberFormat="1" applyFont="1" applyBorder="1" applyAlignment="1">
      <alignment horizontal="center" vertical="center" wrapText="1"/>
    </xf>
    <xf numFmtId="173" fontId="0" fillId="0" borderId="59" xfId="0" applyNumberFormat="1" applyFont="1" applyBorder="1" applyAlignment="1">
      <alignment horizontal="center" vertical="center" wrapText="1"/>
    </xf>
    <xf numFmtId="173" fontId="0" fillId="0" borderId="54" xfId="0" applyNumberFormat="1" applyFont="1" applyBorder="1" applyAlignment="1">
      <alignment horizontal="center" vertical="center" wrapText="1"/>
    </xf>
    <xf numFmtId="173" fontId="135" fillId="0" borderId="10" xfId="0" applyNumberFormat="1" applyFont="1" applyBorder="1" applyAlignment="1">
      <alignment horizontal="center" vertical="center" wrapText="1"/>
    </xf>
    <xf numFmtId="173" fontId="130" fillId="0" borderId="10" xfId="0" applyNumberFormat="1" applyFont="1" applyBorder="1" applyAlignment="1">
      <alignment horizontal="center" vertical="center" wrapText="1"/>
    </xf>
    <xf numFmtId="173" fontId="130" fillId="0" borderId="25" xfId="0" applyNumberFormat="1" applyFont="1" applyBorder="1" applyAlignment="1">
      <alignment horizontal="center" vertical="center" wrapText="1"/>
    </xf>
    <xf numFmtId="0" fontId="130" fillId="0" borderId="10" xfId="0" applyFont="1" applyBorder="1" applyAlignment="1">
      <alignment horizontal="center" vertical="center" wrapText="1"/>
    </xf>
    <xf numFmtId="0" fontId="130" fillId="0" borderId="25" xfId="0" applyFont="1" applyBorder="1" applyAlignment="1">
      <alignment horizontal="center" vertical="center" wrapText="1"/>
    </xf>
    <xf numFmtId="173" fontId="136" fillId="0" borderId="10" xfId="0" applyNumberFormat="1" applyFont="1" applyBorder="1" applyAlignment="1">
      <alignment horizontal="center" vertical="center" wrapText="1"/>
    </xf>
    <xf numFmtId="173" fontId="136" fillId="0" borderId="25" xfId="0" applyNumberFormat="1" applyFont="1" applyBorder="1" applyAlignment="1">
      <alignment horizontal="center" vertical="center" wrapText="1"/>
    </xf>
    <xf numFmtId="173" fontId="135" fillId="0" borderId="25" xfId="0" applyNumberFormat="1" applyFont="1" applyBorder="1" applyAlignment="1">
      <alignment horizontal="center" vertical="center" wrapText="1"/>
    </xf>
    <xf numFmtId="173" fontId="9" fillId="0" borderId="59" xfId="0" applyNumberFormat="1" applyFont="1" applyBorder="1" applyAlignment="1">
      <alignment horizontal="center" vertical="center" wrapText="1"/>
    </xf>
    <xf numFmtId="173" fontId="9" fillId="0" borderId="45" xfId="0" applyNumberFormat="1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horizontal="center" vertical="center" wrapText="1"/>
    </xf>
    <xf numFmtId="173" fontId="27" fillId="0" borderId="10" xfId="0" applyNumberFormat="1" applyFont="1" applyBorder="1" applyAlignment="1">
      <alignment horizontal="center" vertical="center" wrapText="1"/>
    </xf>
    <xf numFmtId="173" fontId="27" fillId="0" borderId="25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0" fillId="50" borderId="24" xfId="0" applyFont="1" applyFill="1" applyBorder="1" applyAlignment="1">
      <alignment vertical="center" wrapText="1"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wrapText="1"/>
    </xf>
    <xf numFmtId="0" fontId="18" fillId="0" borderId="11" xfId="0" applyFont="1" applyBorder="1" applyAlignment="1">
      <alignment horizontal="center" vertical="center"/>
    </xf>
    <xf numFmtId="173" fontId="137" fillId="0" borderId="10" xfId="0" applyNumberFormat="1" applyFont="1" applyBorder="1" applyAlignment="1">
      <alignment horizontal="center" vertical="center" wrapText="1"/>
    </xf>
    <xf numFmtId="173" fontId="137" fillId="0" borderId="25" xfId="0" applyNumberFormat="1" applyFont="1" applyBorder="1" applyAlignment="1">
      <alignment horizontal="center" vertical="center" wrapText="1"/>
    </xf>
    <xf numFmtId="173" fontId="138" fillId="0" borderId="10" xfId="0" applyNumberFormat="1" applyFont="1" applyBorder="1" applyAlignment="1">
      <alignment horizontal="center" vertical="center" wrapText="1"/>
    </xf>
    <xf numFmtId="173" fontId="138" fillId="0" borderId="25" xfId="0" applyNumberFormat="1" applyFont="1" applyBorder="1" applyAlignment="1">
      <alignment horizontal="center" vertical="center" wrapText="1"/>
    </xf>
    <xf numFmtId="173" fontId="139" fillId="0" borderId="10" xfId="0" applyNumberFormat="1" applyFont="1" applyBorder="1" applyAlignment="1">
      <alignment horizontal="center" vertical="center" wrapText="1"/>
    </xf>
    <xf numFmtId="173" fontId="139" fillId="0" borderId="25" xfId="0" applyNumberFormat="1" applyFont="1" applyBorder="1" applyAlignment="1">
      <alignment horizontal="center" vertical="center" wrapText="1"/>
    </xf>
    <xf numFmtId="173" fontId="140" fillId="0" borderId="10" xfId="0" applyNumberFormat="1" applyFont="1" applyBorder="1" applyAlignment="1">
      <alignment horizontal="center" vertical="center" wrapText="1"/>
    </xf>
    <xf numFmtId="173" fontId="141" fillId="0" borderId="10" xfId="0" applyNumberFormat="1" applyFont="1" applyBorder="1" applyAlignment="1">
      <alignment horizontal="center" vertical="center" wrapText="1"/>
    </xf>
    <xf numFmtId="173" fontId="141" fillId="0" borderId="25" xfId="0" applyNumberFormat="1" applyFont="1" applyBorder="1" applyAlignment="1">
      <alignment horizontal="center" vertical="center" wrapText="1"/>
    </xf>
    <xf numFmtId="173" fontId="142" fillId="0" borderId="10" xfId="0" applyNumberFormat="1" applyFont="1" applyBorder="1" applyAlignment="1">
      <alignment horizontal="center" vertical="center" wrapText="1"/>
    </xf>
    <xf numFmtId="173" fontId="142" fillId="0" borderId="25" xfId="0" applyNumberFormat="1" applyFont="1" applyBorder="1" applyAlignment="1">
      <alignment horizontal="center" vertical="center" wrapText="1"/>
    </xf>
    <xf numFmtId="173" fontId="143" fillId="0" borderId="10" xfId="0" applyNumberFormat="1" applyFont="1" applyBorder="1" applyAlignment="1">
      <alignment horizontal="center" vertical="center" wrapText="1"/>
    </xf>
    <xf numFmtId="173" fontId="143" fillId="0" borderId="25" xfId="0" applyNumberFormat="1" applyFont="1" applyBorder="1" applyAlignment="1">
      <alignment horizontal="center" vertical="center" wrapText="1"/>
    </xf>
    <xf numFmtId="173" fontId="143" fillId="0" borderId="59" xfId="0" applyNumberFormat="1" applyFont="1" applyBorder="1" applyAlignment="1">
      <alignment horizontal="center" vertical="center" wrapText="1"/>
    </xf>
    <xf numFmtId="173" fontId="143" fillId="0" borderId="45" xfId="0" applyNumberFormat="1" applyFont="1" applyBorder="1" applyAlignment="1">
      <alignment horizontal="center" vertical="center" wrapText="1"/>
    </xf>
    <xf numFmtId="173" fontId="143" fillId="0" borderId="77" xfId="0" applyNumberFormat="1" applyFont="1" applyBorder="1" applyAlignment="1">
      <alignment horizontal="center" vertical="center" wrapText="1"/>
    </xf>
    <xf numFmtId="173" fontId="143" fillId="0" borderId="40" xfId="0" applyNumberFormat="1" applyFont="1" applyBorder="1" applyAlignment="1">
      <alignment horizontal="center" vertical="center" wrapText="1"/>
    </xf>
    <xf numFmtId="173" fontId="137" fillId="35" borderId="22" xfId="0" applyNumberFormat="1" applyFont="1" applyFill="1" applyBorder="1" applyAlignment="1">
      <alignment horizontal="center" vertical="center" wrapText="1"/>
    </xf>
    <xf numFmtId="173" fontId="137" fillId="40" borderId="55" xfId="0" applyNumberFormat="1" applyFont="1" applyFill="1" applyBorder="1" applyAlignment="1">
      <alignment horizontal="center" vertical="center" wrapText="1"/>
    </xf>
    <xf numFmtId="173" fontId="137" fillId="40" borderId="24" xfId="0" applyNumberFormat="1" applyFont="1" applyFill="1" applyBorder="1" applyAlignment="1">
      <alignment horizontal="center" vertical="center" wrapText="1"/>
    </xf>
    <xf numFmtId="173" fontId="144" fillId="0" borderId="10" xfId="0" applyNumberFormat="1" applyFont="1" applyBorder="1" applyAlignment="1">
      <alignment horizontal="center" vertical="center" wrapText="1"/>
    </xf>
    <xf numFmtId="173" fontId="144" fillId="0" borderId="25" xfId="0" applyNumberFormat="1" applyFont="1" applyBorder="1" applyAlignment="1">
      <alignment horizontal="center" vertical="center" wrapText="1"/>
    </xf>
    <xf numFmtId="173" fontId="145" fillId="0" borderId="25" xfId="0" applyNumberFormat="1" applyFont="1" applyBorder="1" applyAlignment="1">
      <alignment horizontal="center" vertical="center" wrapText="1"/>
    </xf>
    <xf numFmtId="173" fontId="145" fillId="0" borderId="10" xfId="0" applyNumberFormat="1" applyFont="1" applyBorder="1" applyAlignment="1">
      <alignment horizontal="center" vertical="center" wrapText="1"/>
    </xf>
    <xf numFmtId="0" fontId="142" fillId="0" borderId="40" xfId="0" applyFont="1" applyBorder="1" applyAlignment="1">
      <alignment/>
    </xf>
    <xf numFmtId="0" fontId="142" fillId="0" borderId="0" xfId="0" applyFont="1" applyBorder="1" applyAlignment="1">
      <alignment/>
    </xf>
    <xf numFmtId="0" fontId="142" fillId="0" borderId="85" xfId="0" applyFont="1" applyBorder="1" applyAlignment="1">
      <alignment/>
    </xf>
    <xf numFmtId="173" fontId="137" fillId="40" borderId="32" xfId="0" applyNumberFormat="1" applyFont="1" applyFill="1" applyBorder="1" applyAlignment="1">
      <alignment horizontal="center" vertical="center" wrapText="1"/>
    </xf>
    <xf numFmtId="173" fontId="137" fillId="40" borderId="70" xfId="0" applyNumberFormat="1" applyFont="1" applyFill="1" applyBorder="1" applyAlignment="1">
      <alignment horizontal="center" vertical="center" wrapText="1"/>
    </xf>
    <xf numFmtId="173" fontId="143" fillId="0" borderId="34" xfId="0" applyNumberFormat="1" applyFont="1" applyBorder="1" applyAlignment="1">
      <alignment horizontal="center" vertical="center" wrapText="1"/>
    </xf>
    <xf numFmtId="173" fontId="143" fillId="0" borderId="47" xfId="0" applyNumberFormat="1" applyFont="1" applyBorder="1" applyAlignment="1">
      <alignment horizontal="center" vertical="center" wrapText="1"/>
    </xf>
    <xf numFmtId="173" fontId="139" fillId="0" borderId="78" xfId="0" applyNumberFormat="1" applyFont="1" applyBorder="1" applyAlignment="1">
      <alignment horizontal="center" vertical="center" wrapText="1"/>
    </xf>
    <xf numFmtId="173" fontId="143" fillId="0" borderId="78" xfId="0" applyNumberFormat="1" applyFont="1" applyBorder="1" applyAlignment="1">
      <alignment horizontal="center" vertical="center" wrapText="1"/>
    </xf>
    <xf numFmtId="173" fontId="142" fillId="0" borderId="78" xfId="0" applyNumberFormat="1" applyFont="1" applyBorder="1" applyAlignment="1">
      <alignment horizontal="center" vertical="center" wrapText="1"/>
    </xf>
    <xf numFmtId="173" fontId="140" fillId="0" borderId="78" xfId="0" applyNumberFormat="1" applyFont="1" applyBorder="1" applyAlignment="1">
      <alignment horizontal="center" vertical="center" wrapText="1"/>
    </xf>
    <xf numFmtId="173" fontId="137" fillId="35" borderId="13" xfId="0" applyNumberFormat="1" applyFont="1" applyFill="1" applyBorder="1" applyAlignment="1">
      <alignment horizontal="center" vertical="center" wrapText="1"/>
    </xf>
    <xf numFmtId="173" fontId="146" fillId="40" borderId="55" xfId="0" applyNumberFormat="1" applyFont="1" applyFill="1" applyBorder="1" applyAlignment="1">
      <alignment horizontal="center" vertical="center" wrapText="1"/>
    </xf>
    <xf numFmtId="173" fontId="146" fillId="40" borderId="24" xfId="0" applyNumberFormat="1" applyFont="1" applyFill="1" applyBorder="1" applyAlignment="1">
      <alignment horizontal="center" vertical="center" wrapText="1"/>
    </xf>
    <xf numFmtId="173" fontId="142" fillId="0" borderId="59" xfId="0" applyNumberFormat="1" applyFont="1" applyBorder="1" applyAlignment="1">
      <alignment horizontal="center" vertical="center" wrapText="1"/>
    </xf>
    <xf numFmtId="173" fontId="137" fillId="0" borderId="13" xfId="0" applyNumberFormat="1" applyFont="1" applyBorder="1" applyAlignment="1">
      <alignment horizontal="center" vertical="center" wrapText="1"/>
    </xf>
    <xf numFmtId="173" fontId="137" fillId="0" borderId="22" xfId="0" applyNumberFormat="1" applyFont="1" applyBorder="1" applyAlignment="1">
      <alignment horizontal="center" vertical="center" wrapText="1"/>
    </xf>
    <xf numFmtId="173" fontId="137" fillId="43" borderId="44" xfId="0" applyNumberFormat="1" applyFont="1" applyFill="1" applyBorder="1" applyAlignment="1">
      <alignment horizontal="center" vertical="center" wrapText="1"/>
    </xf>
    <xf numFmtId="173" fontId="137" fillId="43" borderId="56" xfId="0" applyNumberFormat="1" applyFont="1" applyFill="1" applyBorder="1" applyAlignment="1">
      <alignment horizontal="center" vertical="center" wrapText="1"/>
    </xf>
    <xf numFmtId="173" fontId="137" fillId="40" borderId="46" xfId="0" applyNumberFormat="1" applyFont="1" applyFill="1" applyBorder="1" applyAlignment="1">
      <alignment horizontal="center" vertical="center" wrapText="1"/>
    </xf>
    <xf numFmtId="173" fontId="137" fillId="40" borderId="33" xfId="0" applyNumberFormat="1" applyFont="1" applyFill="1" applyBorder="1" applyAlignment="1">
      <alignment horizontal="center" vertical="center" wrapText="1"/>
    </xf>
    <xf numFmtId="173" fontId="9" fillId="0" borderId="29" xfId="0" applyNumberFormat="1" applyFont="1" applyBorder="1" applyAlignment="1">
      <alignment horizontal="center" vertical="center" wrapText="1"/>
    </xf>
    <xf numFmtId="173" fontId="9" fillId="0" borderId="77" xfId="0" applyNumberFormat="1" applyFont="1" applyBorder="1" applyAlignment="1">
      <alignment horizontal="center" vertical="center" wrapText="1"/>
    </xf>
    <xf numFmtId="173" fontId="9" fillId="0" borderId="40" xfId="0" applyNumberFormat="1" applyFont="1" applyBorder="1" applyAlignment="1">
      <alignment horizontal="center" vertical="center" wrapText="1"/>
    </xf>
    <xf numFmtId="173" fontId="9" fillId="0" borderId="47" xfId="0" applyNumberFormat="1" applyFont="1" applyBorder="1" applyAlignment="1">
      <alignment horizontal="center" vertical="center" wrapText="1"/>
    </xf>
    <xf numFmtId="173" fontId="1" fillId="40" borderId="32" xfId="0" applyNumberFormat="1" applyFont="1" applyFill="1" applyBorder="1" applyAlignment="1">
      <alignment horizontal="center" vertical="center" wrapText="1"/>
    </xf>
    <xf numFmtId="173" fontId="1" fillId="40" borderId="70" xfId="0" applyNumberFormat="1" applyFont="1" applyFill="1" applyBorder="1" applyAlignment="1">
      <alignment horizontal="center" vertical="center" wrapText="1"/>
    </xf>
    <xf numFmtId="173" fontId="1" fillId="40" borderId="24" xfId="0" applyNumberFormat="1" applyFont="1" applyFill="1" applyBorder="1" applyAlignment="1">
      <alignment horizontal="center" vertical="center" wrapText="1"/>
    </xf>
    <xf numFmtId="173" fontId="1" fillId="40" borderId="55" xfId="0" applyNumberFormat="1" applyFont="1" applyFill="1" applyBorder="1" applyAlignment="1">
      <alignment horizontal="center" vertical="center" wrapText="1"/>
    </xf>
    <xf numFmtId="173" fontId="9" fillId="0" borderId="34" xfId="0" applyNumberFormat="1" applyFont="1" applyBorder="1" applyAlignment="1">
      <alignment horizontal="center" vertical="center" wrapText="1"/>
    </xf>
    <xf numFmtId="173" fontId="1" fillId="35" borderId="13" xfId="0" applyNumberFormat="1" applyFont="1" applyFill="1" applyBorder="1" applyAlignment="1">
      <alignment horizontal="center" vertical="center" wrapText="1"/>
    </xf>
    <xf numFmtId="173" fontId="1" fillId="35" borderId="22" xfId="0" applyNumberFormat="1" applyFont="1" applyFill="1" applyBorder="1" applyAlignment="1">
      <alignment horizontal="center" vertical="center" wrapText="1"/>
    </xf>
    <xf numFmtId="173" fontId="36" fillId="0" borderId="25" xfId="0" applyNumberFormat="1" applyFont="1" applyBorder="1" applyAlignment="1">
      <alignment horizontal="center" vertical="center" wrapText="1"/>
    </xf>
    <xf numFmtId="173" fontId="36" fillId="0" borderId="10" xfId="0" applyNumberFormat="1" applyFont="1" applyBorder="1" applyAlignment="1">
      <alignment horizontal="center" vertical="center" wrapText="1"/>
    </xf>
    <xf numFmtId="173" fontId="1" fillId="35" borderId="53" xfId="0" applyNumberFormat="1" applyFont="1" applyFill="1" applyBorder="1" applyAlignment="1">
      <alignment horizontal="center" vertical="center" wrapText="1"/>
    </xf>
    <xf numFmtId="173" fontId="1" fillId="40" borderId="14" xfId="0" applyNumberFormat="1" applyFont="1" applyFill="1" applyBorder="1" applyAlignment="1">
      <alignment horizontal="center" vertical="center" wrapText="1"/>
    </xf>
    <xf numFmtId="173" fontId="1" fillId="40" borderId="11" xfId="0" applyNumberFormat="1" applyFont="1" applyFill="1" applyBorder="1" applyAlignment="1">
      <alignment horizontal="center" vertical="center" wrapText="1"/>
    </xf>
    <xf numFmtId="173" fontId="1" fillId="40" borderId="29" xfId="0" applyNumberFormat="1" applyFont="1" applyFill="1" applyBorder="1" applyAlignment="1">
      <alignment horizontal="center" vertical="center" wrapText="1"/>
    </xf>
    <xf numFmtId="173" fontId="26" fillId="0" borderId="78" xfId="0" applyNumberFormat="1" applyFont="1" applyBorder="1" applyAlignment="1">
      <alignment horizontal="center" vertical="center" wrapText="1"/>
    </xf>
    <xf numFmtId="173" fontId="9" fillId="0" borderId="78" xfId="0" applyNumberFormat="1" applyFont="1" applyBorder="1" applyAlignment="1">
      <alignment horizontal="center" vertical="center" wrapText="1"/>
    </xf>
    <xf numFmtId="173" fontId="0" fillId="0" borderId="78" xfId="0" applyNumberFormat="1" applyFont="1" applyBorder="1" applyAlignment="1">
      <alignment horizontal="center" vertical="center" wrapText="1"/>
    </xf>
    <xf numFmtId="173" fontId="0" fillId="0" borderId="10" xfId="0" applyNumberFormat="1" applyFont="1" applyBorder="1" applyAlignment="1">
      <alignment horizontal="center"/>
    </xf>
    <xf numFmtId="173" fontId="0" fillId="0" borderId="78" xfId="0" applyNumberFormat="1" applyFont="1" applyBorder="1" applyAlignment="1">
      <alignment horizontal="center"/>
    </xf>
    <xf numFmtId="173" fontId="9" fillId="0" borderId="10" xfId="0" applyNumberFormat="1" applyFont="1" applyBorder="1" applyAlignment="1">
      <alignment horizontal="center"/>
    </xf>
    <xf numFmtId="173" fontId="9" fillId="0" borderId="78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 vertical="center" wrapText="1"/>
    </xf>
    <xf numFmtId="173" fontId="5" fillId="0" borderId="78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173" fontId="2" fillId="0" borderId="78" xfId="0" applyNumberFormat="1" applyFont="1" applyBorder="1" applyAlignment="1">
      <alignment horizontal="center" vertical="center" wrapText="1"/>
    </xf>
    <xf numFmtId="173" fontId="8" fillId="0" borderId="10" xfId="0" applyNumberFormat="1" applyFont="1" applyBorder="1" applyAlignment="1">
      <alignment horizontal="center" vertical="center" wrapText="1"/>
    </xf>
    <xf numFmtId="173" fontId="1" fillId="35" borderId="16" xfId="0" applyNumberFormat="1" applyFont="1" applyFill="1" applyBorder="1" applyAlignment="1">
      <alignment horizontal="center" vertical="center" wrapText="1"/>
    </xf>
    <xf numFmtId="173" fontId="1" fillId="40" borderId="34" xfId="0" applyNumberFormat="1" applyFont="1" applyFill="1" applyBorder="1" applyAlignment="1">
      <alignment horizontal="center" vertical="center" wrapText="1"/>
    </xf>
    <xf numFmtId="173" fontId="1" fillId="0" borderId="33" xfId="0" applyNumberFormat="1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173" fontId="9" fillId="0" borderId="71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3" fontId="5" fillId="0" borderId="25" xfId="0" applyNumberFormat="1" applyFont="1" applyBorder="1" applyAlignment="1">
      <alignment horizontal="center" vertical="center" wrapText="1"/>
    </xf>
    <xf numFmtId="173" fontId="1" fillId="40" borderId="46" xfId="0" applyNumberFormat="1" applyFont="1" applyFill="1" applyBorder="1" applyAlignment="1">
      <alignment horizontal="center" vertical="center" wrapText="1"/>
    </xf>
    <xf numFmtId="173" fontId="1" fillId="40" borderId="33" xfId="0" applyNumberFormat="1" applyFont="1" applyFill="1" applyBorder="1" applyAlignment="1">
      <alignment horizontal="center" vertical="center" wrapText="1"/>
    </xf>
    <xf numFmtId="173" fontId="0" fillId="0" borderId="34" xfId="0" applyNumberFormat="1" applyFont="1" applyBorder="1" applyAlignment="1">
      <alignment horizontal="center" vertical="center" wrapText="1"/>
    </xf>
    <xf numFmtId="173" fontId="9" fillId="0" borderId="53" xfId="0" applyNumberFormat="1" applyFont="1" applyBorder="1" applyAlignment="1">
      <alignment horizontal="center" vertical="center" wrapText="1"/>
    </xf>
    <xf numFmtId="173" fontId="1" fillId="40" borderId="25" xfId="0" applyNumberFormat="1" applyFont="1" applyFill="1" applyBorder="1" applyAlignment="1">
      <alignment horizontal="center" vertical="center" wrapText="1"/>
    </xf>
    <xf numFmtId="173" fontId="1" fillId="40" borderId="10" xfId="0" applyNumberFormat="1" applyFont="1" applyFill="1" applyBorder="1" applyAlignment="1">
      <alignment horizontal="center" vertical="center" wrapText="1"/>
    </xf>
    <xf numFmtId="173" fontId="1" fillId="0" borderId="14" xfId="0" applyNumberFormat="1" applyFont="1" applyBorder="1" applyAlignment="1">
      <alignment horizontal="center" vertical="center" wrapText="1"/>
    </xf>
    <xf numFmtId="173" fontId="1" fillId="0" borderId="11" xfId="0" applyNumberFormat="1" applyFont="1" applyBorder="1" applyAlignment="1">
      <alignment horizontal="center" vertical="center" wrapText="1"/>
    </xf>
    <xf numFmtId="173" fontId="1" fillId="0" borderId="29" xfId="0" applyNumberFormat="1" applyFont="1" applyBorder="1" applyAlignment="1">
      <alignment horizontal="center" vertical="center" wrapText="1"/>
    </xf>
    <xf numFmtId="173" fontId="26" fillId="0" borderId="14" xfId="0" applyNumberFormat="1" applyFont="1" applyBorder="1" applyAlignment="1">
      <alignment horizontal="center" vertical="center" wrapText="1"/>
    </xf>
    <xf numFmtId="173" fontId="36" fillId="0" borderId="14" xfId="0" applyNumberFormat="1" applyFont="1" applyBorder="1" applyAlignment="1">
      <alignment horizontal="center" vertical="center" wrapText="1"/>
    </xf>
    <xf numFmtId="173" fontId="36" fillId="0" borderId="11" xfId="0" applyNumberFormat="1" applyFont="1" applyBorder="1" applyAlignment="1">
      <alignment horizontal="center" vertical="center" wrapText="1"/>
    </xf>
    <xf numFmtId="173" fontId="36" fillId="0" borderId="29" xfId="0" applyNumberFormat="1" applyFont="1" applyBorder="1" applyAlignment="1">
      <alignment horizontal="center" vertical="center" wrapText="1"/>
    </xf>
    <xf numFmtId="173" fontId="9" fillId="0" borderId="14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173" fontId="8" fillId="0" borderId="25" xfId="0" applyNumberFormat="1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175" fontId="1" fillId="50" borderId="55" xfId="0" applyNumberFormat="1" applyFont="1" applyFill="1" applyBorder="1" applyAlignment="1" applyProtection="1">
      <alignment horizontal="center" vertical="center"/>
      <protection locked="0"/>
    </xf>
    <xf numFmtId="175" fontId="1" fillId="50" borderId="10" xfId="0" applyNumberFormat="1" applyFont="1" applyFill="1" applyBorder="1" applyAlignment="1" applyProtection="1">
      <alignment horizontal="center" vertical="center"/>
      <protection locked="0"/>
    </xf>
    <xf numFmtId="49" fontId="10" fillId="50" borderId="11" xfId="0" applyNumberFormat="1" applyFont="1" applyFill="1" applyBorder="1" applyAlignment="1" applyProtection="1">
      <alignment horizontal="center" vertical="center" wrapText="1"/>
      <protection locked="0"/>
    </xf>
    <xf numFmtId="49" fontId="27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14" xfId="0" applyNumberFormat="1" applyFont="1" applyFill="1" applyBorder="1" applyAlignment="1" applyProtection="1">
      <alignment horizontal="left" vertical="center" wrapText="1" readingOrder="1"/>
      <protection locked="0"/>
    </xf>
    <xf numFmtId="175" fontId="10" fillId="50" borderId="25" xfId="0" applyNumberFormat="1" applyFont="1" applyFill="1" applyBorder="1" applyAlignment="1" applyProtection="1">
      <alignment horizontal="center" vertical="center"/>
      <protection locked="0"/>
    </xf>
    <xf numFmtId="0" fontId="10" fillId="50" borderId="14" xfId="0" applyNumberFormat="1" applyFont="1" applyFill="1" applyBorder="1" applyAlignment="1" applyProtection="1">
      <alignment wrapText="1" readingOrder="1"/>
      <protection locked="0"/>
    </xf>
    <xf numFmtId="49" fontId="2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2" fillId="49" borderId="40" xfId="0" applyNumberFormat="1" applyFont="1" applyFill="1" applyBorder="1" applyAlignment="1" applyProtection="1">
      <alignment horizontal="center" vertical="center" wrapText="1"/>
      <protection locked="0"/>
    </xf>
    <xf numFmtId="0" fontId="2" fillId="5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5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50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14" xfId="0" applyNumberFormat="1" applyFont="1" applyFill="1" applyBorder="1" applyAlignment="1" applyProtection="1">
      <alignment horizontal="left" vertical="center" wrapText="1"/>
      <protection locked="0"/>
    </xf>
    <xf numFmtId="0" fontId="2" fillId="50" borderId="14" xfId="0" applyNumberFormat="1" applyFont="1" applyFill="1" applyBorder="1" applyAlignment="1" applyProtection="1">
      <alignment vertical="center" wrapText="1"/>
      <protection locked="0"/>
    </xf>
    <xf numFmtId="49" fontId="2" fillId="5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50" borderId="2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5" xfId="0" applyNumberFormat="1" applyFont="1" applyFill="1" applyBorder="1" applyAlignment="1" applyProtection="1">
      <alignment horizontal="center" vertical="center"/>
      <protection locked="0"/>
    </xf>
    <xf numFmtId="0" fontId="10" fillId="50" borderId="14" xfId="0" applyNumberFormat="1" applyFont="1" applyFill="1" applyBorder="1" applyAlignment="1" applyProtection="1">
      <alignment vertical="center" wrapText="1" readingOrder="1"/>
      <protection locked="0"/>
    </xf>
    <xf numFmtId="0" fontId="1" fillId="5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50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50" borderId="14" xfId="0" applyNumberFormat="1" applyFont="1" applyFill="1" applyBorder="1" applyAlignment="1" applyProtection="1">
      <alignment wrapText="1" readingOrder="1"/>
      <protection locked="0"/>
    </xf>
    <xf numFmtId="0" fontId="2" fillId="5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40" xfId="0" applyNumberFormat="1" applyFont="1" applyFill="1" applyBorder="1" applyAlignment="1" applyProtection="1">
      <alignment horizontal="center" vertical="center"/>
      <protection locked="0"/>
    </xf>
    <xf numFmtId="49" fontId="2" fillId="49" borderId="44" xfId="0" applyNumberFormat="1" applyFont="1" applyFill="1" applyBorder="1" applyAlignment="1" applyProtection="1">
      <alignment horizontal="center" vertical="center"/>
      <protection locked="0"/>
    </xf>
    <xf numFmtId="0" fontId="10" fillId="50" borderId="35" xfId="0" applyNumberFormat="1" applyFont="1" applyFill="1" applyBorder="1" applyAlignment="1" applyProtection="1">
      <alignment vertical="center" wrapText="1"/>
      <protection locked="0"/>
    </xf>
    <xf numFmtId="0" fontId="10" fillId="50" borderId="58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73" xfId="0" applyNumberFormat="1" applyFont="1" applyFill="1" applyBorder="1" applyAlignment="1" applyProtection="1">
      <alignment horizontal="center" vertical="center" wrapText="1"/>
      <protection locked="0"/>
    </xf>
    <xf numFmtId="175" fontId="10" fillId="50" borderId="47" xfId="0" applyNumberFormat="1" applyFont="1" applyFill="1" applyBorder="1" applyAlignment="1" applyProtection="1">
      <alignment horizontal="center" vertical="center"/>
      <protection locked="0"/>
    </xf>
    <xf numFmtId="175" fontId="2" fillId="50" borderId="24" xfId="0" applyNumberFormat="1" applyFont="1" applyFill="1" applyBorder="1" applyAlignment="1" applyProtection="1">
      <alignment horizontal="center" vertical="center"/>
      <protection locked="0"/>
    </xf>
    <xf numFmtId="175" fontId="7" fillId="50" borderId="47" xfId="0" applyNumberFormat="1" applyFont="1" applyFill="1" applyBorder="1" applyAlignment="1" applyProtection="1">
      <alignment horizontal="center" vertical="center"/>
      <protection locked="0"/>
    </xf>
    <xf numFmtId="175" fontId="10" fillId="50" borderId="55" xfId="0" applyNumberFormat="1" applyFont="1" applyFill="1" applyBorder="1" applyAlignment="1" applyProtection="1">
      <alignment horizontal="center" vertical="center"/>
      <protection locked="0"/>
    </xf>
    <xf numFmtId="175" fontId="2" fillId="50" borderId="10" xfId="0" applyNumberFormat="1" applyFont="1" applyFill="1" applyBorder="1" applyAlignment="1" applyProtection="1">
      <alignment horizontal="center" vertical="center"/>
      <protection locked="0"/>
    </xf>
    <xf numFmtId="175" fontId="10" fillId="50" borderId="10" xfId="0" applyNumberFormat="1" applyFont="1" applyFill="1" applyBorder="1" applyAlignment="1" applyProtection="1">
      <alignment horizontal="center" vertical="center"/>
      <protection locked="0"/>
    </xf>
    <xf numFmtId="175" fontId="2" fillId="50" borderId="55" xfId="0" applyNumberFormat="1" applyFont="1" applyFill="1" applyBorder="1" applyAlignment="1" applyProtection="1">
      <alignment horizontal="center" vertical="center"/>
      <protection locked="0"/>
    </xf>
    <xf numFmtId="175" fontId="14" fillId="50" borderId="13" xfId="0" applyNumberFormat="1" applyFont="1" applyFill="1" applyBorder="1" applyAlignment="1" applyProtection="1">
      <alignment horizontal="center"/>
      <protection locked="0"/>
    </xf>
    <xf numFmtId="175" fontId="13" fillId="50" borderId="24" xfId="0" applyNumberFormat="1" applyFont="1" applyFill="1" applyBorder="1" applyAlignment="1" applyProtection="1">
      <alignment horizontal="center"/>
      <protection locked="0"/>
    </xf>
    <xf numFmtId="175" fontId="13" fillId="50" borderId="25" xfId="0" applyNumberFormat="1" applyFont="1" applyFill="1" applyBorder="1" applyAlignment="1" applyProtection="1">
      <alignment horizontal="center"/>
      <protection locked="0"/>
    </xf>
    <xf numFmtId="175" fontId="18" fillId="50" borderId="25" xfId="0" applyNumberFormat="1" applyFont="1" applyFill="1" applyBorder="1" applyAlignment="1" applyProtection="1">
      <alignment horizontal="center"/>
      <protection locked="0"/>
    </xf>
    <xf numFmtId="175" fontId="18" fillId="50" borderId="45" xfId="0" applyNumberFormat="1" applyFont="1" applyFill="1" applyBorder="1" applyAlignment="1" applyProtection="1">
      <alignment horizontal="center"/>
      <protection locked="0"/>
    </xf>
    <xf numFmtId="175" fontId="14" fillId="50" borderId="22" xfId="0" applyNumberFormat="1" applyFont="1" applyFill="1" applyBorder="1" applyAlignment="1" applyProtection="1">
      <alignment horizontal="center"/>
      <protection locked="0"/>
    </xf>
    <xf numFmtId="49" fontId="2" fillId="50" borderId="13" xfId="0" applyNumberFormat="1" applyFont="1" applyFill="1" applyBorder="1" applyAlignment="1">
      <alignment horizontal="center" vertical="center" wrapText="1"/>
    </xf>
    <xf numFmtId="49" fontId="2" fillId="50" borderId="19" xfId="0" applyNumberFormat="1" applyFont="1" applyFill="1" applyBorder="1" applyAlignment="1">
      <alignment horizontal="center" vertical="center" wrapText="1"/>
    </xf>
    <xf numFmtId="49" fontId="7" fillId="50" borderId="23" xfId="0" applyNumberFormat="1" applyFont="1" applyFill="1" applyBorder="1" applyAlignment="1">
      <alignment horizontal="center" vertical="center" wrapText="1"/>
    </xf>
    <xf numFmtId="49" fontId="7" fillId="50" borderId="18" xfId="0" applyNumberFormat="1" applyFont="1" applyFill="1" applyBorder="1" applyAlignment="1">
      <alignment horizontal="center" vertical="center" wrapText="1"/>
    </xf>
    <xf numFmtId="0" fontId="13" fillId="50" borderId="13" xfId="0" applyFont="1" applyFill="1" applyBorder="1" applyAlignment="1">
      <alignment horizontal="center" wrapText="1"/>
    </xf>
    <xf numFmtId="173" fontId="13" fillId="50" borderId="33" xfId="0" applyNumberFormat="1" applyFont="1" applyFill="1" applyBorder="1" applyAlignment="1">
      <alignment horizontal="center"/>
    </xf>
    <xf numFmtId="49" fontId="7" fillId="50" borderId="44" xfId="0" applyNumberFormat="1" applyFont="1" applyFill="1" applyBorder="1" applyAlignment="1">
      <alignment horizontal="center" vertical="center"/>
    </xf>
    <xf numFmtId="49" fontId="7" fillId="50" borderId="37" xfId="0" applyNumberFormat="1" applyFont="1" applyFill="1" applyBorder="1" applyAlignment="1">
      <alignment horizontal="center" vertical="center"/>
    </xf>
    <xf numFmtId="49" fontId="7" fillId="50" borderId="42" xfId="0" applyNumberFormat="1" applyFont="1" applyFill="1" applyBorder="1" applyAlignment="1">
      <alignment horizontal="center" vertical="center"/>
    </xf>
    <xf numFmtId="49" fontId="7" fillId="50" borderId="82" xfId="0" applyNumberFormat="1" applyFont="1" applyFill="1" applyBorder="1" applyAlignment="1">
      <alignment horizontal="center" vertical="center"/>
    </xf>
    <xf numFmtId="0" fontId="7" fillId="50" borderId="40" xfId="0" applyFont="1" applyFill="1" applyBorder="1" applyAlignment="1">
      <alignment horizontal="center"/>
    </xf>
    <xf numFmtId="1" fontId="7" fillId="50" borderId="59" xfId="0" applyNumberFormat="1" applyFont="1" applyFill="1" applyBorder="1" applyAlignment="1">
      <alignment horizontal="center"/>
    </xf>
    <xf numFmtId="0" fontId="1" fillId="50" borderId="19" xfId="0" applyFont="1" applyFill="1" applyBorder="1" applyAlignment="1">
      <alignment/>
    </xf>
    <xf numFmtId="49" fontId="1" fillId="50" borderId="23" xfId="0" applyNumberFormat="1" applyFont="1" applyFill="1" applyBorder="1" applyAlignment="1">
      <alignment horizontal="center" vertical="center"/>
    </xf>
    <xf numFmtId="49" fontId="0" fillId="50" borderId="23" xfId="0" applyNumberFormat="1" applyFont="1" applyFill="1" applyBorder="1" applyAlignment="1">
      <alignment horizontal="center" vertical="center"/>
    </xf>
    <xf numFmtId="49" fontId="0" fillId="50" borderId="18" xfId="0" applyNumberFormat="1" applyFont="1" applyFill="1" applyBorder="1" applyAlignment="1">
      <alignment horizontal="center" vertical="center"/>
    </xf>
    <xf numFmtId="175" fontId="1" fillId="50" borderId="13" xfId="0" applyNumberFormat="1" applyFont="1" applyFill="1" applyBorder="1" applyAlignment="1">
      <alignment horizontal="center"/>
    </xf>
    <xf numFmtId="175" fontId="1" fillId="50" borderId="22" xfId="0" applyNumberFormat="1" applyFont="1" applyFill="1" applyBorder="1" applyAlignment="1">
      <alignment horizontal="center"/>
    </xf>
    <xf numFmtId="49" fontId="27" fillId="50" borderId="12" xfId="0" applyNumberFormat="1" applyFont="1" applyFill="1" applyBorder="1" applyAlignment="1">
      <alignment horizontal="center" vertical="center"/>
    </xf>
    <xf numFmtId="49" fontId="27" fillId="50" borderId="21" xfId="0" applyNumberFormat="1" applyFont="1" applyFill="1" applyBorder="1" applyAlignment="1">
      <alignment horizontal="center" vertical="center"/>
    </xf>
    <xf numFmtId="175" fontId="27" fillId="50" borderId="45" xfId="0" applyNumberFormat="1" applyFont="1" applyFill="1" applyBorder="1" applyAlignment="1">
      <alignment horizontal="center"/>
    </xf>
    <xf numFmtId="175" fontId="27" fillId="50" borderId="59" xfId="0" applyNumberFormat="1" applyFont="1" applyFill="1" applyBorder="1" applyAlignment="1">
      <alignment horizontal="center"/>
    </xf>
    <xf numFmtId="0" fontId="1" fillId="50" borderId="19" xfId="0" applyNumberFormat="1" applyFont="1" applyFill="1" applyBorder="1" applyAlignment="1" applyProtection="1">
      <alignment horizontal="left"/>
      <protection locked="0"/>
    </xf>
    <xf numFmtId="0" fontId="1" fillId="50" borderId="23" xfId="0" applyNumberFormat="1" applyFont="1" applyFill="1" applyBorder="1" applyAlignment="1" applyProtection="1">
      <alignment horizontal="center" vertical="center"/>
      <protection locked="0"/>
    </xf>
    <xf numFmtId="0" fontId="1" fillId="50" borderId="18" xfId="0" applyNumberFormat="1" applyFont="1" applyFill="1" applyBorder="1" applyAlignment="1" applyProtection="1">
      <alignment horizontal="center" vertical="center"/>
      <protection locked="0"/>
    </xf>
    <xf numFmtId="175" fontId="1" fillId="50" borderId="13" xfId="0" applyNumberFormat="1" applyFont="1" applyFill="1" applyBorder="1" applyAlignment="1" applyProtection="1">
      <alignment horizontal="center"/>
      <protection locked="0"/>
    </xf>
    <xf numFmtId="175" fontId="1" fillId="50" borderId="22" xfId="0" applyNumberFormat="1" applyFont="1" applyFill="1" applyBorder="1" applyAlignment="1" applyProtection="1">
      <alignment horizontal="center"/>
      <protection locked="0"/>
    </xf>
    <xf numFmtId="0" fontId="1" fillId="50" borderId="19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50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50" borderId="18" xfId="0" applyNumberFormat="1" applyFont="1" applyFill="1" applyBorder="1" applyAlignment="1" applyProtection="1">
      <alignment horizontal="center" vertical="center" wrapText="1"/>
      <protection locked="0"/>
    </xf>
    <xf numFmtId="175" fontId="1" fillId="50" borderId="13" xfId="0" applyNumberFormat="1" applyFont="1" applyFill="1" applyBorder="1" applyAlignment="1" applyProtection="1">
      <alignment horizontal="center" vertical="center"/>
      <protection locked="0"/>
    </xf>
    <xf numFmtId="175" fontId="1" fillId="50" borderId="22" xfId="0" applyNumberFormat="1" applyFont="1" applyFill="1" applyBorder="1" applyAlignment="1" applyProtection="1">
      <alignment horizontal="center" vertical="center"/>
      <protection locked="0"/>
    </xf>
    <xf numFmtId="175" fontId="27" fillId="50" borderId="10" xfId="0" applyNumberFormat="1" applyFont="1" applyFill="1" applyBorder="1" applyAlignment="1" applyProtection="1">
      <alignment horizontal="center" vertical="center"/>
      <protection locked="0"/>
    </xf>
    <xf numFmtId="0" fontId="2" fillId="50" borderId="14" xfId="0" applyNumberFormat="1" applyFont="1" applyFill="1" applyBorder="1" applyAlignment="1" applyProtection="1">
      <alignment wrapText="1" readingOrder="1"/>
      <protection locked="0"/>
    </xf>
    <xf numFmtId="49" fontId="2" fillId="50" borderId="11" xfId="0" applyNumberFormat="1" applyFont="1" applyFill="1" applyBorder="1" applyAlignment="1" applyProtection="1">
      <alignment horizontal="center" vertical="center" wrapText="1"/>
      <protection locked="0"/>
    </xf>
    <xf numFmtId="175" fontId="2" fillId="50" borderId="25" xfId="0" applyNumberFormat="1" applyFont="1" applyFill="1" applyBorder="1" applyAlignment="1" applyProtection="1">
      <alignment horizontal="center" vertical="center"/>
      <protection locked="0"/>
    </xf>
    <xf numFmtId="175" fontId="7" fillId="50" borderId="25" xfId="0" applyNumberFormat="1" applyFont="1" applyFill="1" applyBorder="1" applyAlignment="1" applyProtection="1">
      <alignment horizontal="center" vertical="center"/>
      <protection locked="0"/>
    </xf>
    <xf numFmtId="175" fontId="2" fillId="50" borderId="10" xfId="0" applyNumberFormat="1" applyFont="1" applyFill="1" applyBorder="1" applyAlignment="1" applyProtection="1">
      <alignment horizontal="center" vertical="center"/>
      <protection locked="0"/>
    </xf>
    <xf numFmtId="0" fontId="7" fillId="50" borderId="14" xfId="0" applyNumberFormat="1" applyFont="1" applyFill="1" applyBorder="1" applyAlignment="1" applyProtection="1">
      <alignment vertical="center" wrapText="1"/>
      <protection locked="0"/>
    </xf>
    <xf numFmtId="0" fontId="2" fillId="50" borderId="14" xfId="0" applyNumberFormat="1" applyFont="1" applyFill="1" applyBorder="1" applyAlignment="1" applyProtection="1">
      <alignment horizontal="left" wrapText="1" readingOrder="1"/>
      <protection locked="0"/>
    </xf>
    <xf numFmtId="0" fontId="2" fillId="50" borderId="14" xfId="0" applyNumberFormat="1" applyFont="1" applyFill="1" applyBorder="1" applyAlignment="1" applyProtection="1">
      <alignment wrapText="1" readingOrder="1"/>
      <protection locked="0"/>
    </xf>
    <xf numFmtId="0" fontId="7" fillId="50" borderId="14" xfId="0" applyNumberFormat="1" applyFont="1" applyFill="1" applyBorder="1" applyAlignment="1" applyProtection="1">
      <alignment wrapText="1" readingOrder="1"/>
      <protection locked="0"/>
    </xf>
    <xf numFmtId="0" fontId="27" fillId="50" borderId="14" xfId="0" applyNumberFormat="1" applyFont="1" applyFill="1" applyBorder="1" applyAlignment="1" applyProtection="1">
      <alignment horizontal="left" wrapText="1" readingOrder="1"/>
      <protection locked="0"/>
    </xf>
    <xf numFmtId="49" fontId="27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14" xfId="0" applyNumberFormat="1" applyFont="1" applyFill="1" applyBorder="1" applyAlignment="1" applyProtection="1">
      <alignment horizontal="left" wrapText="1" readingOrder="1"/>
      <protection locked="0"/>
    </xf>
    <xf numFmtId="49" fontId="10" fillId="50" borderId="11" xfId="0" applyNumberFormat="1" applyFont="1" applyFill="1" applyBorder="1" applyAlignment="1" applyProtection="1">
      <alignment horizontal="center" vertical="center"/>
      <protection locked="0"/>
    </xf>
    <xf numFmtId="0" fontId="13" fillId="50" borderId="85" xfId="0" applyFont="1" applyFill="1" applyBorder="1" applyAlignment="1">
      <alignment horizontal="center"/>
    </xf>
    <xf numFmtId="1" fontId="18" fillId="50" borderId="71" xfId="0" applyNumberFormat="1" applyFont="1" applyFill="1" applyBorder="1" applyAlignment="1">
      <alignment horizontal="center"/>
    </xf>
    <xf numFmtId="0" fontId="18" fillId="50" borderId="47" xfId="0" applyFont="1" applyFill="1" applyBorder="1" applyAlignment="1">
      <alignment horizontal="center"/>
    </xf>
    <xf numFmtId="1" fontId="18" fillId="50" borderId="34" xfId="0" applyNumberFormat="1" applyFont="1" applyFill="1" applyBorder="1" applyAlignment="1">
      <alignment horizontal="center"/>
    </xf>
    <xf numFmtId="1" fontId="18" fillId="50" borderId="74" xfId="0" applyNumberFormat="1" applyFont="1" applyFill="1" applyBorder="1" applyAlignment="1">
      <alignment horizontal="center"/>
    </xf>
    <xf numFmtId="175" fontId="13" fillId="50" borderId="24" xfId="0" applyNumberFormat="1" applyFont="1" applyFill="1" applyBorder="1" applyAlignment="1">
      <alignment horizontal="center"/>
    </xf>
    <xf numFmtId="175" fontId="13" fillId="50" borderId="55" xfId="0" applyNumberFormat="1" applyFont="1" applyFill="1" applyBorder="1" applyAlignment="1">
      <alignment horizontal="center"/>
    </xf>
    <xf numFmtId="175" fontId="13" fillId="50" borderId="25" xfId="0" applyNumberFormat="1" applyFont="1" applyFill="1" applyBorder="1" applyAlignment="1">
      <alignment horizontal="center"/>
    </xf>
    <xf numFmtId="175" fontId="13" fillId="50" borderId="10" xfId="0" applyNumberFormat="1" applyFont="1" applyFill="1" applyBorder="1" applyAlignment="1">
      <alignment horizontal="center"/>
    </xf>
    <xf numFmtId="175" fontId="13" fillId="50" borderId="10" xfId="0" applyNumberFormat="1" applyFont="1" applyFill="1" applyBorder="1" applyAlignment="1" applyProtection="1">
      <alignment horizontal="center"/>
      <protection locked="0"/>
    </xf>
    <xf numFmtId="175" fontId="18" fillId="50" borderId="25" xfId="0" applyNumberFormat="1" applyFont="1" applyFill="1" applyBorder="1" applyAlignment="1">
      <alignment horizontal="center"/>
    </xf>
    <xf numFmtId="175" fontId="18" fillId="50" borderId="10" xfId="0" applyNumberFormat="1" applyFont="1" applyFill="1" applyBorder="1" applyAlignment="1">
      <alignment horizontal="center"/>
    </xf>
    <xf numFmtId="175" fontId="12" fillId="50" borderId="45" xfId="0" applyNumberFormat="1" applyFont="1" applyFill="1" applyBorder="1" applyAlignment="1">
      <alignment horizontal="center"/>
    </xf>
    <xf numFmtId="175" fontId="12" fillId="50" borderId="59" xfId="0" applyNumberFormat="1" applyFont="1" applyFill="1" applyBorder="1" applyAlignment="1">
      <alignment horizontal="center"/>
    </xf>
    <xf numFmtId="175" fontId="27" fillId="50" borderId="10" xfId="0" applyNumberFormat="1" applyFont="1" applyFill="1" applyBorder="1" applyAlignment="1" applyProtection="1">
      <alignment horizontal="center" vertical="center"/>
      <protection locked="0"/>
    </xf>
    <xf numFmtId="175" fontId="27" fillId="50" borderId="10" xfId="0" applyNumberFormat="1" applyFont="1" applyFill="1" applyBorder="1" applyAlignment="1">
      <alignment horizontal="center" vertical="center"/>
    </xf>
    <xf numFmtId="175" fontId="7" fillId="50" borderId="10" xfId="0" applyNumberFormat="1" applyFont="1" applyFill="1" applyBorder="1" applyAlignment="1">
      <alignment horizontal="center" vertical="center"/>
    </xf>
    <xf numFmtId="175" fontId="7" fillId="50" borderId="10" xfId="0" applyNumberFormat="1" applyFont="1" applyFill="1" applyBorder="1" applyAlignment="1">
      <alignment horizontal="center" vertical="center"/>
    </xf>
    <xf numFmtId="175" fontId="27" fillId="50" borderId="10" xfId="0" applyNumberFormat="1" applyFont="1" applyFill="1" applyBorder="1" applyAlignment="1">
      <alignment horizontal="center" vertical="center"/>
    </xf>
    <xf numFmtId="175" fontId="7" fillId="50" borderId="25" xfId="0" applyNumberFormat="1" applyFont="1" applyFill="1" applyBorder="1" applyAlignment="1">
      <alignment horizontal="center" vertical="center"/>
    </xf>
    <xf numFmtId="175" fontId="10" fillId="50" borderId="34" xfId="0" applyNumberFormat="1" applyFont="1" applyFill="1" applyBorder="1" applyAlignment="1" applyProtection="1">
      <alignment horizontal="center" vertical="center"/>
      <protection locked="0"/>
    </xf>
    <xf numFmtId="175" fontId="7" fillId="50" borderId="34" xfId="0" applyNumberFormat="1" applyFont="1" applyFill="1" applyBorder="1" applyAlignment="1">
      <alignment horizontal="center" vertical="center"/>
    </xf>
    <xf numFmtId="175" fontId="7" fillId="50" borderId="74" xfId="0" applyNumberFormat="1" applyFont="1" applyFill="1" applyBorder="1" applyAlignment="1">
      <alignment horizontal="center" vertical="center"/>
    </xf>
    <xf numFmtId="175" fontId="16" fillId="50" borderId="22" xfId="0" applyNumberFormat="1" applyFont="1" applyFill="1" applyBorder="1" applyAlignment="1">
      <alignment horizontal="center"/>
    </xf>
    <xf numFmtId="175" fontId="16" fillId="50" borderId="50" xfId="0" applyNumberFormat="1" applyFont="1" applyFill="1" applyBorder="1" applyAlignment="1">
      <alignment horizontal="center"/>
    </xf>
    <xf numFmtId="175" fontId="18" fillId="50" borderId="55" xfId="0" applyNumberFormat="1" applyFont="1" applyFill="1" applyBorder="1" applyAlignment="1">
      <alignment horizontal="center"/>
    </xf>
    <xf numFmtId="175" fontId="18" fillId="50" borderId="83" xfId="0" applyNumberFormat="1" applyFont="1" applyFill="1" applyBorder="1" applyAlignment="1">
      <alignment horizontal="center"/>
    </xf>
    <xf numFmtId="175" fontId="18" fillId="50" borderId="71" xfId="0" applyNumberFormat="1" applyFont="1" applyFill="1" applyBorder="1" applyAlignment="1">
      <alignment horizontal="center"/>
    </xf>
    <xf numFmtId="49" fontId="59" fillId="50" borderId="23" xfId="0" applyNumberFormat="1" applyFont="1" applyFill="1" applyBorder="1" applyAlignment="1">
      <alignment horizontal="center" vertical="center" wrapText="1"/>
    </xf>
    <xf numFmtId="49" fontId="1" fillId="40" borderId="45" xfId="0" applyNumberFormat="1" applyFont="1" applyFill="1" applyBorder="1" applyAlignment="1">
      <alignment horizontal="center" vertical="center"/>
    </xf>
    <xf numFmtId="49" fontId="1" fillId="6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55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55" xfId="0" applyNumberFormat="1" applyFont="1" applyFill="1" applyBorder="1" applyAlignment="1" applyProtection="1">
      <alignment horizontal="center" vertical="center"/>
      <protection locked="0"/>
    </xf>
    <xf numFmtId="49" fontId="1" fillId="4" borderId="10" xfId="0" applyNumberFormat="1" applyFont="1" applyFill="1" applyBorder="1" applyAlignment="1" applyProtection="1">
      <alignment horizontal="center" vertical="center"/>
      <protection locked="0"/>
    </xf>
    <xf numFmtId="175" fontId="6" fillId="41" borderId="78" xfId="0" applyNumberFormat="1" applyFont="1" applyFill="1" applyBorder="1" applyAlignment="1">
      <alignment horizontal="center" vertical="center"/>
    </xf>
    <xf numFmtId="173" fontId="9" fillId="0" borderId="25" xfId="0" applyNumberFormat="1" applyFont="1" applyBorder="1" applyAlignment="1">
      <alignment horizontal="center" vertical="center" wrapText="1"/>
    </xf>
    <xf numFmtId="49" fontId="1" fillId="6" borderId="22" xfId="0" applyNumberFormat="1" applyFont="1" applyFill="1" applyBorder="1" applyAlignment="1" applyProtection="1">
      <alignment horizontal="center" vertical="center"/>
      <protection locked="0"/>
    </xf>
    <xf numFmtId="49" fontId="1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77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0" fontId="7" fillId="0" borderId="77" xfId="0" applyFont="1" applyBorder="1" applyAlignment="1">
      <alignment horizontal="center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left" wrapText="1" readingOrder="1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175" fontId="1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31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11" xfId="0" applyNumberFormat="1" applyFont="1" applyFill="1" applyBorder="1" applyAlignment="1" applyProtection="1">
      <alignment horizontal="left" vertical="center" wrapText="1" readingOrder="1"/>
      <protection locked="0"/>
    </xf>
    <xf numFmtId="175" fontId="1" fillId="31" borderId="11" xfId="0" applyNumberFormat="1" applyFont="1" applyFill="1" applyBorder="1" applyAlignment="1" applyProtection="1">
      <alignment horizontal="center" vertical="center"/>
      <protection locked="0"/>
    </xf>
    <xf numFmtId="49" fontId="1" fillId="31" borderId="11" xfId="0" applyNumberFormat="1" applyFont="1" applyFill="1" applyBorder="1" applyAlignment="1" applyProtection="1">
      <alignment horizontal="center" vertical="center"/>
      <protection locked="0"/>
    </xf>
    <xf numFmtId="0" fontId="1" fillId="31" borderId="11" xfId="0" applyNumberFormat="1" applyFont="1" applyFill="1" applyBorder="1" applyAlignment="1" applyProtection="1">
      <alignment horizontal="left" vertical="center" wrapText="1"/>
      <protection locked="0"/>
    </xf>
    <xf numFmtId="0" fontId="27" fillId="50" borderId="11" xfId="0" applyNumberFormat="1" applyFont="1" applyFill="1" applyBorder="1" applyAlignment="1" applyProtection="1">
      <alignment horizontal="left" vertical="center" wrapText="1" readingOrder="1"/>
      <protection locked="0"/>
    </xf>
    <xf numFmtId="175" fontId="27" fillId="50" borderId="11" xfId="0" applyNumberFormat="1" applyFont="1" applyFill="1" applyBorder="1" applyAlignment="1" applyProtection="1">
      <alignment horizontal="center" vertical="center"/>
      <protection locked="0"/>
    </xf>
    <xf numFmtId="0" fontId="27" fillId="50" borderId="11" xfId="0" applyNumberFormat="1" applyFont="1" applyFill="1" applyBorder="1" applyAlignment="1" applyProtection="1">
      <alignment wrapText="1" readingOrder="1"/>
      <protection locked="0"/>
    </xf>
    <xf numFmtId="0" fontId="27" fillId="50" borderId="11" xfId="0" applyNumberFormat="1" applyFont="1" applyFill="1" applyBorder="1" applyAlignment="1" applyProtection="1">
      <alignment vertical="center" wrapText="1"/>
      <protection locked="0"/>
    </xf>
    <xf numFmtId="49" fontId="27" fillId="50" borderId="11" xfId="0" applyNumberFormat="1" applyFont="1" applyFill="1" applyBorder="1" applyAlignment="1" applyProtection="1">
      <alignment horizontal="center" vertical="center"/>
      <protection locked="0"/>
    </xf>
    <xf numFmtId="0" fontId="27" fillId="50" borderId="11" xfId="0" applyNumberFormat="1" applyFont="1" applyFill="1" applyBorder="1" applyAlignment="1" applyProtection="1">
      <alignment horizontal="left" wrapText="1" readingOrder="1"/>
      <protection locked="0"/>
    </xf>
    <xf numFmtId="0" fontId="27" fillId="50" borderId="1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left" wrapText="1" readingOrder="1"/>
      <protection locked="0"/>
    </xf>
    <xf numFmtId="175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25" xfId="0" applyNumberFormat="1" applyFont="1" applyFill="1" applyBorder="1" applyAlignment="1" applyProtection="1">
      <alignment horizontal="center" vertical="center"/>
      <protection locked="0"/>
    </xf>
    <xf numFmtId="49" fontId="2" fillId="49" borderId="40" xfId="0" applyNumberFormat="1" applyFont="1" applyFill="1" applyBorder="1" applyAlignment="1" applyProtection="1">
      <alignment horizontal="center" vertical="center"/>
      <protection locked="0"/>
    </xf>
    <xf numFmtId="175" fontId="14" fillId="50" borderId="26" xfId="0" applyNumberFormat="1" applyFont="1" applyFill="1" applyBorder="1" applyAlignment="1" applyProtection="1">
      <alignment horizontal="center"/>
      <protection locked="0"/>
    </xf>
    <xf numFmtId="175" fontId="14" fillId="50" borderId="53" xfId="0" applyNumberFormat="1" applyFont="1" applyFill="1" applyBorder="1" applyAlignment="1" applyProtection="1">
      <alignment horizontal="center"/>
      <protection locked="0"/>
    </xf>
    <xf numFmtId="49" fontId="13" fillId="50" borderId="43" xfId="0" applyNumberFormat="1" applyFont="1" applyFill="1" applyBorder="1" applyAlignment="1">
      <alignment horizontal="center"/>
    </xf>
    <xf numFmtId="0" fontId="13" fillId="50" borderId="53" xfId="0" applyFont="1" applyFill="1" applyBorder="1" applyAlignment="1">
      <alignment horizontal="center"/>
    </xf>
    <xf numFmtId="0" fontId="13" fillId="50" borderId="86" xfId="0" applyFont="1" applyFill="1" applyBorder="1" applyAlignment="1">
      <alignment horizontal="center"/>
    </xf>
    <xf numFmtId="49" fontId="16" fillId="0" borderId="68" xfId="0" applyNumberFormat="1" applyFont="1" applyBorder="1" applyAlignment="1">
      <alignment horizontal="center" wrapText="1"/>
    </xf>
    <xf numFmtId="0" fontId="51" fillId="0" borderId="0" xfId="0" applyFont="1" applyAlignment="1">
      <alignment horizontal="right"/>
    </xf>
    <xf numFmtId="49" fontId="31" fillId="38" borderId="20" xfId="0" applyNumberFormat="1" applyFont="1" applyFill="1" applyBorder="1" applyAlignment="1">
      <alignment horizontal="justify" vertical="justify" wrapText="1"/>
    </xf>
    <xf numFmtId="49" fontId="13" fillId="0" borderId="20" xfId="0" applyNumberFormat="1" applyFont="1" applyFill="1" applyBorder="1" applyAlignment="1">
      <alignment horizontal="justify" vertical="justify" wrapText="1"/>
    </xf>
    <xf numFmtId="49" fontId="30" fillId="35" borderId="20" xfId="0" applyNumberFormat="1" applyFont="1" applyFill="1" applyBorder="1" applyAlignment="1">
      <alignment horizontal="justify" vertical="justify" wrapText="1"/>
    </xf>
    <xf numFmtId="0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vertical="center" wrapText="1" readingOrder="1"/>
      <protection locked="0"/>
    </xf>
    <xf numFmtId="0" fontId="2" fillId="0" borderId="17" xfId="0" applyNumberFormat="1" applyFont="1" applyBorder="1" applyAlignment="1" applyProtection="1">
      <alignment horizontal="center" vertical="center" wrapText="1"/>
      <protection locked="0"/>
    </xf>
    <xf numFmtId="0" fontId="1" fillId="52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NumberFormat="1" applyFont="1" applyFill="1" applyBorder="1" applyAlignment="1" applyProtection="1">
      <alignment vertical="center" wrapText="1" readingOrder="1"/>
      <protection locked="0"/>
    </xf>
    <xf numFmtId="49" fontId="21" fillId="0" borderId="0" xfId="0" applyNumberFormat="1" applyFont="1" applyAlignment="1">
      <alignment horizontal="right"/>
    </xf>
    <xf numFmtId="0" fontId="10" fillId="50" borderId="10" xfId="0" applyNumberFormat="1" applyFont="1" applyFill="1" applyBorder="1" applyAlignment="1" applyProtection="1">
      <alignment vertical="center" wrapText="1" readingOrder="1"/>
      <protection locked="0"/>
    </xf>
    <xf numFmtId="0" fontId="7" fillId="4" borderId="10" xfId="0" applyNumberFormat="1" applyFont="1" applyFill="1" applyBorder="1" applyAlignment="1" applyProtection="1">
      <alignment vertical="center" wrapText="1" readingOrder="1"/>
      <protection locked="0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73" fontId="2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73" fontId="7" fillId="0" borderId="0" xfId="0" applyNumberFormat="1" applyFont="1" applyBorder="1" applyAlignment="1">
      <alignment horizontal="center" vertical="center" wrapText="1"/>
    </xf>
    <xf numFmtId="173" fontId="27" fillId="0" borderId="0" xfId="0" applyNumberFormat="1" applyFont="1" applyBorder="1" applyAlignment="1">
      <alignment horizontal="center" vertical="center" wrapText="1"/>
    </xf>
    <xf numFmtId="49" fontId="1" fillId="2" borderId="2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NumberFormat="1" applyFont="1" applyFill="1" applyBorder="1" applyAlignment="1" applyProtection="1">
      <alignment vertical="center" wrapText="1"/>
      <protection locked="0"/>
    </xf>
    <xf numFmtId="0" fontId="1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0" xfId="0" applyNumberFormat="1" applyFont="1" applyFill="1" applyBorder="1" applyAlignment="1" applyProtection="1">
      <alignment horizontal="center" vertical="center"/>
      <protection locked="0"/>
    </xf>
    <xf numFmtId="175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52" borderId="10" xfId="0" applyNumberFormat="1" applyFont="1" applyFill="1" applyBorder="1" applyAlignment="1" applyProtection="1">
      <alignment vertical="center" wrapText="1" readingOrder="1"/>
      <protection locked="0"/>
    </xf>
    <xf numFmtId="49" fontId="19" fillId="0" borderId="25" xfId="0" applyNumberFormat="1" applyFont="1" applyFill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0" fontId="2" fillId="4" borderId="14" xfId="0" applyFont="1" applyFill="1" applyBorder="1" applyAlignment="1">
      <alignment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173" fontId="10" fillId="4" borderId="10" xfId="0" applyNumberFormat="1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/>
    </xf>
    <xf numFmtId="175" fontId="0" fillId="0" borderId="0" xfId="0" applyNumberFormat="1" applyAlignment="1">
      <alignment/>
    </xf>
    <xf numFmtId="175" fontId="135" fillId="0" borderId="0" xfId="0" applyNumberFormat="1" applyFont="1" applyAlignment="1">
      <alignment/>
    </xf>
    <xf numFmtId="0" fontId="12" fillId="0" borderId="1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5" fontId="13" fillId="0" borderId="10" xfId="0" applyNumberFormat="1" applyFont="1" applyFill="1" applyBorder="1" applyAlignment="1">
      <alignment horizontal="center" vertical="center"/>
    </xf>
    <xf numFmtId="175" fontId="13" fillId="35" borderId="10" xfId="0" applyNumberFormat="1" applyFont="1" applyFill="1" applyBorder="1" applyAlignment="1">
      <alignment horizontal="center" vertical="center"/>
    </xf>
    <xf numFmtId="175" fontId="13" fillId="0" borderId="10" xfId="0" applyNumberFormat="1" applyFont="1" applyBorder="1" applyAlignment="1">
      <alignment horizontal="center" vertical="center"/>
    </xf>
    <xf numFmtId="175" fontId="12" fillId="0" borderId="1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 horizontal="center"/>
    </xf>
    <xf numFmtId="175" fontId="1" fillId="50" borderId="10" xfId="0" applyNumberFormat="1" applyFont="1" applyFill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175" fontId="12" fillId="0" borderId="34" xfId="0" applyNumberFormat="1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175" fontId="56" fillId="0" borderId="55" xfId="0" applyNumberFormat="1" applyFont="1" applyBorder="1" applyAlignment="1">
      <alignment horizontal="center" vertical="center" wrapText="1"/>
    </xf>
    <xf numFmtId="0" fontId="55" fillId="0" borderId="59" xfId="0" applyFont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56" fillId="0" borderId="55" xfId="0" applyFont="1" applyFill="1" applyBorder="1" applyAlignment="1">
      <alignment horizontal="center" vertical="center" wrapText="1"/>
    </xf>
    <xf numFmtId="0" fontId="56" fillId="0" borderId="76" xfId="0" applyFont="1" applyFill="1" applyBorder="1" applyAlignment="1">
      <alignment horizontal="center" vertical="center" wrapText="1"/>
    </xf>
    <xf numFmtId="0" fontId="56" fillId="0" borderId="41" xfId="0" applyFont="1" applyFill="1" applyBorder="1" applyAlignment="1">
      <alignment horizontal="center" vertical="center" wrapText="1"/>
    </xf>
    <xf numFmtId="0" fontId="56" fillId="0" borderId="70" xfId="0" applyFont="1" applyFill="1" applyBorder="1" applyAlignment="1">
      <alignment horizontal="center" vertical="center" wrapText="1"/>
    </xf>
    <xf numFmtId="175" fontId="13" fillId="0" borderId="76" xfId="0" applyNumberFormat="1" applyFont="1" applyBorder="1" applyAlignment="1">
      <alignment horizontal="center" vertical="center"/>
    </xf>
    <xf numFmtId="175" fontId="13" fillId="0" borderId="41" xfId="0" applyNumberFormat="1" applyFont="1" applyBorder="1" applyAlignment="1">
      <alignment horizontal="center" vertical="center"/>
    </xf>
    <xf numFmtId="175" fontId="13" fillId="0" borderId="70" xfId="0" applyNumberFormat="1" applyFont="1" applyBorder="1" applyAlignment="1">
      <alignment horizontal="center" vertical="center"/>
    </xf>
    <xf numFmtId="175" fontId="64" fillId="0" borderId="10" xfId="0" applyNumberFormat="1" applyFont="1" applyBorder="1" applyAlignment="1">
      <alignment horizontal="center" vertical="center" wrapText="1"/>
    </xf>
    <xf numFmtId="175" fontId="56" fillId="53" borderId="22" xfId="0" applyNumberFormat="1" applyFont="1" applyFill="1" applyBorder="1" applyAlignment="1">
      <alignment horizontal="center" vertical="center" wrapText="1"/>
    </xf>
    <xf numFmtId="0" fontId="15" fillId="53" borderId="50" xfId="0" applyFont="1" applyFill="1" applyBorder="1" applyAlignment="1">
      <alignment horizontal="center" vertical="center" wrapText="1"/>
    </xf>
    <xf numFmtId="0" fontId="14" fillId="53" borderId="16" xfId="0" applyFont="1" applyFill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63" fillId="0" borderId="41" xfId="0" applyFont="1" applyBorder="1" applyAlignment="1">
      <alignment horizontal="center" vertical="center"/>
    </xf>
    <xf numFmtId="175" fontId="13" fillId="53" borderId="27" xfId="0" applyNumberFormat="1" applyFont="1" applyFill="1" applyBorder="1" applyAlignment="1">
      <alignment horizontal="center" vertical="center"/>
    </xf>
    <xf numFmtId="49" fontId="13" fillId="31" borderId="19" xfId="0" applyNumberFormat="1" applyFont="1" applyFill="1" applyBorder="1" applyAlignment="1">
      <alignment horizontal="center" vertical="center" wrapText="1"/>
    </xf>
    <xf numFmtId="0" fontId="13" fillId="31" borderId="27" xfId="0" applyFont="1" applyFill="1" applyBorder="1" applyAlignment="1">
      <alignment horizontal="center" vertical="center" wrapText="1"/>
    </xf>
    <xf numFmtId="0" fontId="30" fillId="31" borderId="16" xfId="0" applyFont="1" applyFill="1" applyBorder="1" applyAlignment="1">
      <alignment vertical="center" wrapText="1"/>
    </xf>
    <xf numFmtId="175" fontId="56" fillId="31" borderId="22" xfId="0" applyNumberFormat="1" applyFont="1" applyFill="1" applyBorder="1" applyAlignment="1">
      <alignment horizontal="center" vertical="center" wrapText="1"/>
    </xf>
    <xf numFmtId="175" fontId="13" fillId="31" borderId="51" xfId="0" applyNumberFormat="1" applyFont="1" applyFill="1" applyBorder="1" applyAlignment="1">
      <alignment horizontal="center" vertical="center"/>
    </xf>
    <xf numFmtId="175" fontId="13" fillId="31" borderId="23" xfId="0" applyNumberFormat="1" applyFont="1" applyFill="1" applyBorder="1" applyAlignment="1">
      <alignment horizontal="center" vertical="center"/>
    </xf>
    <xf numFmtId="175" fontId="13" fillId="31" borderId="18" xfId="0" applyNumberFormat="1" applyFont="1" applyFill="1" applyBorder="1" applyAlignment="1">
      <alignment horizontal="center" vertical="center"/>
    </xf>
    <xf numFmtId="49" fontId="15" fillId="26" borderId="37" xfId="0" applyNumberFormat="1" applyFont="1" applyFill="1" applyBorder="1" applyAlignment="1">
      <alignment horizontal="center" vertical="center" wrapText="1"/>
    </xf>
    <xf numFmtId="0" fontId="14" fillId="26" borderId="38" xfId="0" applyFont="1" applyFill="1" applyBorder="1" applyAlignment="1">
      <alignment horizontal="center" vertical="center" wrapText="1"/>
    </xf>
    <xf numFmtId="0" fontId="14" fillId="26" borderId="0" xfId="0" applyFont="1" applyFill="1" applyBorder="1" applyAlignment="1">
      <alignment vertical="top" wrapText="1"/>
    </xf>
    <xf numFmtId="0" fontId="33" fillId="0" borderId="28" xfId="0" applyFont="1" applyBorder="1" applyAlignment="1">
      <alignment horizontal="center" vertical="center" wrapText="1"/>
    </xf>
    <xf numFmtId="0" fontId="30" fillId="31" borderId="16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175" fontId="19" fillId="0" borderId="28" xfId="0" applyNumberFormat="1" applyFont="1" applyBorder="1" applyAlignment="1">
      <alignment horizontal="center" vertical="center"/>
    </xf>
    <xf numFmtId="175" fontId="19" fillId="0" borderId="30" xfId="0" applyNumberFormat="1" applyFont="1" applyBorder="1" applyAlignment="1">
      <alignment horizontal="center" vertical="center"/>
    </xf>
    <xf numFmtId="175" fontId="12" fillId="0" borderId="70" xfId="0" applyNumberFormat="1" applyFont="1" applyBorder="1" applyAlignment="1">
      <alignment horizontal="center" vertical="center"/>
    </xf>
    <xf numFmtId="175" fontId="64" fillId="0" borderId="25" xfId="0" applyNumberFormat="1" applyFont="1" applyBorder="1" applyAlignment="1">
      <alignment horizontal="center" vertical="center" wrapText="1"/>
    </xf>
    <xf numFmtId="175" fontId="13" fillId="31" borderId="22" xfId="0" applyNumberFormat="1" applyFont="1" applyFill="1" applyBorder="1" applyAlignment="1">
      <alignment horizontal="center" vertical="center"/>
    </xf>
    <xf numFmtId="175" fontId="12" fillId="0" borderId="55" xfId="0" applyNumberFormat="1" applyFont="1" applyBorder="1" applyAlignment="1">
      <alignment horizontal="center" vertical="center"/>
    </xf>
    <xf numFmtId="175" fontId="13" fillId="26" borderId="77" xfId="0" applyNumberFormat="1" applyFont="1" applyFill="1" applyBorder="1" applyAlignment="1">
      <alignment horizontal="center" vertical="center" wrapText="1"/>
    </xf>
    <xf numFmtId="175" fontId="13" fillId="26" borderId="40" xfId="0" applyNumberFormat="1" applyFont="1" applyFill="1" applyBorder="1" applyAlignment="1">
      <alignment horizontal="center" vertical="center" wrapText="1"/>
    </xf>
    <xf numFmtId="175" fontId="13" fillId="26" borderId="77" xfId="0" applyNumberFormat="1" applyFont="1" applyFill="1" applyBorder="1" applyAlignment="1">
      <alignment horizontal="center" vertical="center"/>
    </xf>
    <xf numFmtId="49" fontId="13" fillId="53" borderId="48" xfId="0" applyNumberFormat="1" applyFont="1" applyFill="1" applyBorder="1" applyAlignment="1">
      <alignment horizontal="center" vertical="center" wrapText="1"/>
    </xf>
    <xf numFmtId="0" fontId="13" fillId="53" borderId="49" xfId="0" applyFont="1" applyFill="1" applyBorder="1" applyAlignment="1">
      <alignment horizontal="center" vertical="center" wrapText="1"/>
    </xf>
    <xf numFmtId="175" fontId="13" fillId="53" borderId="53" xfId="0" applyNumberFormat="1" applyFont="1" applyFill="1" applyBorder="1" applyAlignment="1">
      <alignment horizontal="center" vertical="center" wrapText="1"/>
    </xf>
    <xf numFmtId="175" fontId="13" fillId="53" borderId="26" xfId="0" applyNumberFormat="1" applyFont="1" applyFill="1" applyBorder="1" applyAlignment="1">
      <alignment horizontal="center" vertical="center" wrapText="1"/>
    </xf>
    <xf numFmtId="175" fontId="13" fillId="53" borderId="53" xfId="0" applyNumberFormat="1" applyFont="1" applyFill="1" applyBorder="1" applyAlignment="1">
      <alignment horizontal="center" vertical="center"/>
    </xf>
    <xf numFmtId="0" fontId="14" fillId="53" borderId="43" xfId="0" applyFont="1" applyFill="1" applyBorder="1" applyAlignment="1">
      <alignment vertical="top" wrapText="1"/>
    </xf>
    <xf numFmtId="0" fontId="4" fillId="0" borderId="63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49" fontId="30" fillId="0" borderId="32" xfId="0" applyNumberFormat="1" applyFont="1" applyBorder="1" applyAlignment="1">
      <alignment horizontal="center" vertical="center" wrapText="1"/>
    </xf>
    <xf numFmtId="49" fontId="33" fillId="0" borderId="32" xfId="0" applyNumberFormat="1" applyFont="1" applyBorder="1" applyAlignment="1">
      <alignment horizontal="center" vertical="center" wrapText="1"/>
    </xf>
    <xf numFmtId="0" fontId="33" fillId="0" borderId="31" xfId="0" applyFont="1" applyBorder="1" applyAlignment="1">
      <alignment vertical="top" wrapText="1"/>
    </xf>
    <xf numFmtId="0" fontId="30" fillId="31" borderId="43" xfId="0" applyFont="1" applyFill="1" applyBorder="1" applyAlignment="1">
      <alignment vertical="center" wrapText="1"/>
    </xf>
    <xf numFmtId="49" fontId="30" fillId="31" borderId="14" xfId="0" applyNumberFormat="1" applyFont="1" applyFill="1" applyBorder="1" applyAlignment="1">
      <alignment horizontal="center" vertical="center" wrapText="1"/>
    </xf>
    <xf numFmtId="0" fontId="30" fillId="31" borderId="78" xfId="0" applyFont="1" applyFill="1" applyBorder="1" applyAlignment="1">
      <alignment vertical="top" wrapText="1"/>
    </xf>
    <xf numFmtId="175" fontId="65" fillId="0" borderId="10" xfId="0" applyNumberFormat="1" applyFont="1" applyBorder="1" applyAlignment="1">
      <alignment horizontal="center" vertical="center" wrapText="1"/>
    </xf>
    <xf numFmtId="175" fontId="33" fillId="0" borderId="17" xfId="0" applyNumberFormat="1" applyFont="1" applyBorder="1" applyAlignment="1">
      <alignment horizontal="center" vertical="center"/>
    </xf>
    <xf numFmtId="175" fontId="33" fillId="0" borderId="11" xfId="0" applyNumberFormat="1" applyFont="1" applyBorder="1" applyAlignment="1">
      <alignment horizontal="center" vertical="center"/>
    </xf>
    <xf numFmtId="175" fontId="33" fillId="0" borderId="20" xfId="0" applyNumberFormat="1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175" fontId="33" fillId="0" borderId="10" xfId="0" applyNumberFormat="1" applyFont="1" applyBorder="1" applyAlignment="1">
      <alignment horizontal="center" vertical="center"/>
    </xf>
    <xf numFmtId="175" fontId="66" fillId="0" borderId="10" xfId="0" applyNumberFormat="1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/>
    </xf>
    <xf numFmtId="175" fontId="33" fillId="0" borderId="69" xfId="0" applyNumberFormat="1" applyFont="1" applyBorder="1" applyAlignment="1">
      <alignment horizontal="center" vertical="center"/>
    </xf>
    <xf numFmtId="175" fontId="33" fillId="0" borderId="12" xfId="0" applyNumberFormat="1" applyFont="1" applyBorder="1" applyAlignment="1">
      <alignment horizontal="center" vertical="center"/>
    </xf>
    <xf numFmtId="175" fontId="33" fillId="0" borderId="21" xfId="0" applyNumberFormat="1" applyFont="1" applyBorder="1" applyAlignment="1">
      <alignment horizontal="center" vertical="center"/>
    </xf>
    <xf numFmtId="175" fontId="67" fillId="0" borderId="10" xfId="0" applyNumberFormat="1" applyFont="1" applyBorder="1" applyAlignment="1">
      <alignment horizontal="center" vertical="center" wrapText="1"/>
    </xf>
    <xf numFmtId="175" fontId="30" fillId="0" borderId="69" xfId="0" applyNumberFormat="1" applyFont="1" applyBorder="1" applyAlignment="1">
      <alignment horizontal="center" vertical="center"/>
    </xf>
    <xf numFmtId="175" fontId="30" fillId="0" borderId="12" xfId="0" applyNumberFormat="1" applyFont="1" applyBorder="1" applyAlignment="1">
      <alignment horizontal="center" vertical="center"/>
    </xf>
    <xf numFmtId="175" fontId="30" fillId="0" borderId="21" xfId="0" applyNumberFormat="1" applyFont="1" applyBorder="1" applyAlignment="1">
      <alignment horizontal="center" vertical="center"/>
    </xf>
    <xf numFmtId="175" fontId="30" fillId="0" borderId="52" xfId="0" applyNumberFormat="1" applyFont="1" applyBorder="1" applyAlignment="1">
      <alignment horizontal="center" vertical="center"/>
    </xf>
    <xf numFmtId="175" fontId="30" fillId="0" borderId="42" xfId="0" applyNumberFormat="1" applyFont="1" applyBorder="1" applyAlignment="1">
      <alignment horizontal="center" vertical="center"/>
    </xf>
    <xf numFmtId="175" fontId="30" fillId="0" borderId="82" xfId="0" applyNumberFormat="1" applyFont="1" applyBorder="1" applyAlignment="1">
      <alignment horizontal="center" vertical="center"/>
    </xf>
    <xf numFmtId="175" fontId="46" fillId="0" borderId="59" xfId="0" applyNumberFormat="1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/>
    </xf>
    <xf numFmtId="175" fontId="33" fillId="0" borderId="59" xfId="0" applyNumberFormat="1" applyFont="1" applyBorder="1" applyAlignment="1">
      <alignment horizontal="center" vertical="center"/>
    </xf>
    <xf numFmtId="49" fontId="30" fillId="31" borderId="19" xfId="0" applyNumberFormat="1" applyFont="1" applyFill="1" applyBorder="1" applyAlignment="1">
      <alignment horizontal="center" vertical="center" wrapText="1"/>
    </xf>
    <xf numFmtId="0" fontId="30" fillId="31" borderId="27" xfId="0" applyFont="1" applyFill="1" applyBorder="1" applyAlignment="1">
      <alignment horizontal="center" vertical="center" wrapText="1"/>
    </xf>
    <xf numFmtId="175" fontId="67" fillId="31" borderId="22" xfId="0" applyNumberFormat="1" applyFont="1" applyFill="1" applyBorder="1" applyAlignment="1">
      <alignment horizontal="center" vertical="center" wrapText="1"/>
    </xf>
    <xf numFmtId="175" fontId="67" fillId="31" borderId="51" xfId="0" applyNumberFormat="1" applyFont="1" applyFill="1" applyBorder="1" applyAlignment="1">
      <alignment horizontal="center" vertical="center" wrapText="1"/>
    </xf>
    <xf numFmtId="175" fontId="67" fillId="31" borderId="23" xfId="0" applyNumberFormat="1" applyFont="1" applyFill="1" applyBorder="1" applyAlignment="1">
      <alignment horizontal="center" vertical="center" wrapText="1"/>
    </xf>
    <xf numFmtId="175" fontId="67" fillId="31" borderId="18" xfId="0" applyNumberFormat="1" applyFont="1" applyFill="1" applyBorder="1" applyAlignment="1">
      <alignment horizontal="center" vertical="center" wrapText="1"/>
    </xf>
    <xf numFmtId="175" fontId="30" fillId="31" borderId="18" xfId="0" applyNumberFormat="1" applyFont="1" applyFill="1" applyBorder="1" applyAlignment="1">
      <alignment horizontal="center" vertical="center"/>
    </xf>
    <xf numFmtId="175" fontId="30" fillId="31" borderId="22" xfId="0" applyNumberFormat="1" applyFont="1" applyFill="1" applyBorder="1" applyAlignment="1">
      <alignment horizontal="center" vertical="center"/>
    </xf>
    <xf numFmtId="175" fontId="67" fillId="0" borderId="77" xfId="0" applyNumberFormat="1" applyFont="1" applyBorder="1" applyAlignment="1">
      <alignment horizontal="center" vertical="center" wrapText="1"/>
    </xf>
    <xf numFmtId="175" fontId="30" fillId="0" borderId="76" xfId="0" applyNumberFormat="1" applyFont="1" applyBorder="1" applyAlignment="1">
      <alignment horizontal="center" vertical="center"/>
    </xf>
    <xf numFmtId="175" fontId="30" fillId="0" borderId="41" xfId="0" applyNumberFormat="1" applyFont="1" applyBorder="1" applyAlignment="1">
      <alignment horizontal="center" vertical="center"/>
    </xf>
    <xf numFmtId="175" fontId="30" fillId="0" borderId="70" xfId="0" applyNumberFormat="1" applyFont="1" applyBorder="1" applyAlignment="1">
      <alignment horizontal="center" vertical="center"/>
    </xf>
    <xf numFmtId="175" fontId="31" fillId="0" borderId="70" xfId="0" applyNumberFormat="1" applyFont="1" applyBorder="1" applyAlignment="1">
      <alignment horizontal="center" vertical="center"/>
    </xf>
    <xf numFmtId="175" fontId="33" fillId="0" borderId="55" xfId="0" applyNumberFormat="1" applyFont="1" applyBorder="1" applyAlignment="1">
      <alignment horizontal="center" vertical="center"/>
    </xf>
    <xf numFmtId="175" fontId="65" fillId="0" borderId="59" xfId="0" applyNumberFormat="1" applyFont="1" applyBorder="1" applyAlignment="1">
      <alignment horizontal="center" vertical="center" wrapText="1"/>
    </xf>
    <xf numFmtId="175" fontId="33" fillId="0" borderId="21" xfId="0" applyNumberFormat="1" applyFont="1" applyFill="1" applyBorder="1" applyAlignment="1">
      <alignment horizontal="center" vertical="center"/>
    </xf>
    <xf numFmtId="175" fontId="67" fillId="31" borderId="50" xfId="0" applyNumberFormat="1" applyFont="1" applyFill="1" applyBorder="1" applyAlignment="1">
      <alignment horizontal="center" vertical="center" wrapText="1"/>
    </xf>
    <xf numFmtId="175" fontId="67" fillId="31" borderId="13" xfId="0" applyNumberFormat="1" applyFont="1" applyFill="1" applyBorder="1" applyAlignment="1">
      <alignment horizontal="center" vertical="center" wrapText="1"/>
    </xf>
    <xf numFmtId="1" fontId="30" fillId="31" borderId="18" xfId="0" applyNumberFormat="1" applyFont="1" applyFill="1" applyBorder="1" applyAlignment="1">
      <alignment horizontal="center" vertical="center"/>
    </xf>
    <xf numFmtId="1" fontId="30" fillId="31" borderId="22" xfId="0" applyNumberFormat="1" applyFont="1" applyFill="1" applyBorder="1" applyAlignment="1">
      <alignment horizontal="center" vertical="center"/>
    </xf>
    <xf numFmtId="175" fontId="67" fillId="0" borderId="55" xfId="0" applyNumberFormat="1" applyFont="1" applyBorder="1" applyAlignment="1">
      <alignment horizontal="center" vertical="center" wrapText="1"/>
    </xf>
    <xf numFmtId="1" fontId="31" fillId="0" borderId="70" xfId="0" applyNumberFormat="1" applyFont="1" applyBorder="1" applyAlignment="1">
      <alignment horizontal="center" vertical="center"/>
    </xf>
    <xf numFmtId="1" fontId="33" fillId="0" borderId="55" xfId="0" applyNumberFormat="1" applyFont="1" applyBorder="1" applyAlignment="1">
      <alignment horizontal="center" vertical="center"/>
    </xf>
    <xf numFmtId="1" fontId="31" fillId="0" borderId="20" xfId="0" applyNumberFormat="1" applyFont="1" applyBorder="1" applyAlignment="1">
      <alignment horizontal="center" vertical="center"/>
    </xf>
    <xf numFmtId="1" fontId="33" fillId="0" borderId="10" xfId="0" applyNumberFormat="1" applyFont="1" applyBorder="1" applyAlignment="1">
      <alignment horizontal="center" vertical="center"/>
    </xf>
    <xf numFmtId="49" fontId="30" fillId="26" borderId="19" xfId="0" applyNumberFormat="1" applyFont="1" applyFill="1" applyBorder="1" applyAlignment="1">
      <alignment horizontal="center" vertical="center" wrapText="1"/>
    </xf>
    <xf numFmtId="0" fontId="30" fillId="26" borderId="50" xfId="0" applyFont="1" applyFill="1" applyBorder="1" applyAlignment="1">
      <alignment horizontal="center" vertical="center" wrapText="1"/>
    </xf>
    <xf numFmtId="0" fontId="30" fillId="26" borderId="39" xfId="0" applyFont="1" applyFill="1" applyBorder="1" applyAlignment="1">
      <alignment vertical="top" wrapText="1"/>
    </xf>
    <xf numFmtId="175" fontId="67" fillId="26" borderId="56" xfId="0" applyNumberFormat="1" applyFont="1" applyFill="1" applyBorder="1" applyAlignment="1">
      <alignment horizontal="center" vertical="center" wrapText="1"/>
    </xf>
    <xf numFmtId="175" fontId="67" fillId="26" borderId="44" xfId="0" applyNumberFormat="1" applyFont="1" applyFill="1" applyBorder="1" applyAlignment="1">
      <alignment horizontal="center" vertical="center" wrapText="1"/>
    </xf>
    <xf numFmtId="175" fontId="30" fillId="26" borderId="10" xfId="0" applyNumberFormat="1" applyFont="1" applyFill="1" applyBorder="1" applyAlignment="1">
      <alignment horizontal="center" vertical="center"/>
    </xf>
    <xf numFmtId="49" fontId="30" fillId="36" borderId="19" xfId="0" applyNumberFormat="1" applyFont="1" applyFill="1" applyBorder="1" applyAlignment="1">
      <alignment horizontal="center" vertical="center" wrapText="1"/>
    </xf>
    <xf numFmtId="0" fontId="30" fillId="36" borderId="27" xfId="0" applyFont="1" applyFill="1" applyBorder="1" applyAlignment="1">
      <alignment horizontal="center" vertical="center" wrapText="1"/>
    </xf>
    <xf numFmtId="0" fontId="67" fillId="36" borderId="22" xfId="0" applyFont="1" applyFill="1" applyBorder="1" applyAlignment="1">
      <alignment horizontal="center" vertical="center" wrapText="1"/>
    </xf>
    <xf numFmtId="0" fontId="67" fillId="36" borderId="51" xfId="0" applyFont="1" applyFill="1" applyBorder="1" applyAlignment="1">
      <alignment horizontal="center" vertical="center" wrapText="1"/>
    </xf>
    <xf numFmtId="0" fontId="67" fillId="36" borderId="23" xfId="0" applyFont="1" applyFill="1" applyBorder="1" applyAlignment="1">
      <alignment horizontal="center" vertical="center" wrapText="1"/>
    </xf>
    <xf numFmtId="0" fontId="67" fillId="36" borderId="18" xfId="0" applyFont="1" applyFill="1" applyBorder="1" applyAlignment="1">
      <alignment horizontal="center" vertical="center" wrapText="1"/>
    </xf>
    <xf numFmtId="0" fontId="67" fillId="0" borderId="33" xfId="0" applyFont="1" applyFill="1" applyBorder="1" applyAlignment="1">
      <alignment horizontal="center" vertical="center" wrapText="1"/>
    </xf>
    <xf numFmtId="0" fontId="67" fillId="0" borderId="76" xfId="0" applyFont="1" applyFill="1" applyBorder="1" applyAlignment="1">
      <alignment horizontal="center" vertical="center" wrapText="1"/>
    </xf>
    <xf numFmtId="0" fontId="67" fillId="0" borderId="41" xfId="0" applyFont="1" applyFill="1" applyBorder="1" applyAlignment="1">
      <alignment horizontal="center" vertical="center" wrapText="1"/>
    </xf>
    <xf numFmtId="0" fontId="67" fillId="0" borderId="7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67" fillId="0" borderId="55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vertical="top" wrapText="1"/>
    </xf>
    <xf numFmtId="0" fontId="65" fillId="0" borderId="55" xfId="0" applyFont="1" applyFill="1" applyBorder="1" applyAlignment="1">
      <alignment horizontal="center" vertical="center" wrapText="1"/>
    </xf>
    <xf numFmtId="0" fontId="65" fillId="0" borderId="59" xfId="0" applyFont="1" applyFill="1" applyBorder="1" applyAlignment="1">
      <alignment horizontal="center" vertical="center" wrapText="1"/>
    </xf>
    <xf numFmtId="0" fontId="33" fillId="0" borderId="69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67" fillId="31" borderId="51" xfId="0" applyFont="1" applyFill="1" applyBorder="1" applyAlignment="1">
      <alignment horizontal="center" vertical="center" wrapText="1"/>
    </xf>
    <xf numFmtId="0" fontId="67" fillId="31" borderId="23" xfId="0" applyFont="1" applyFill="1" applyBorder="1" applyAlignment="1">
      <alignment horizontal="center" vertical="center" wrapText="1"/>
    </xf>
    <xf numFmtId="0" fontId="67" fillId="31" borderId="18" xfId="0" applyFont="1" applyFill="1" applyBorder="1" applyAlignment="1">
      <alignment horizontal="center" vertical="center" wrapText="1"/>
    </xf>
    <xf numFmtId="0" fontId="30" fillId="31" borderId="18" xfId="0" applyFont="1" applyFill="1" applyBorder="1" applyAlignment="1">
      <alignment horizontal="center" vertical="center"/>
    </xf>
    <xf numFmtId="175" fontId="67" fillId="0" borderId="55" xfId="0" applyNumberFormat="1" applyFont="1" applyFill="1" applyBorder="1" applyAlignment="1">
      <alignment horizontal="center" vertical="center" wrapText="1"/>
    </xf>
    <xf numFmtId="0" fontId="31" fillId="0" borderId="70" xfId="0" applyFont="1" applyBorder="1" applyAlignment="1">
      <alignment horizontal="center" vertical="center"/>
    </xf>
    <xf numFmtId="175" fontId="67" fillId="0" borderId="10" xfId="0" applyNumberFormat="1" applyFont="1" applyFill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/>
    </xf>
    <xf numFmtId="175" fontId="65" fillId="0" borderId="10" xfId="0" applyNumberFormat="1" applyFont="1" applyFill="1" applyBorder="1" applyAlignment="1">
      <alignment horizontal="center" vertical="center" wrapText="1"/>
    </xf>
    <xf numFmtId="0" fontId="65" fillId="0" borderId="77" xfId="0" applyFont="1" applyFill="1" applyBorder="1" applyAlignment="1">
      <alignment horizontal="center" vertical="center" wrapText="1"/>
    </xf>
    <xf numFmtId="175" fontId="65" fillId="0" borderId="77" xfId="0" applyNumberFormat="1" applyFont="1" applyBorder="1" applyAlignment="1">
      <alignment horizontal="center" vertical="center" wrapText="1"/>
    </xf>
    <xf numFmtId="175" fontId="33" fillId="0" borderId="76" xfId="0" applyNumberFormat="1" applyFont="1" applyBorder="1" applyAlignment="1">
      <alignment horizontal="center" vertical="center"/>
    </xf>
    <xf numFmtId="175" fontId="33" fillId="0" borderId="41" xfId="0" applyNumberFormat="1" applyFont="1" applyBorder="1" applyAlignment="1">
      <alignment horizontal="center" vertical="center"/>
    </xf>
    <xf numFmtId="175" fontId="33" fillId="0" borderId="70" xfId="0" applyNumberFormat="1" applyFont="1" applyBorder="1" applyAlignment="1">
      <alignment horizontal="center" vertical="center"/>
    </xf>
    <xf numFmtId="0" fontId="33" fillId="0" borderId="70" xfId="0" applyFont="1" applyBorder="1" applyAlignment="1">
      <alignment horizontal="center" vertical="center"/>
    </xf>
    <xf numFmtId="175" fontId="67" fillId="0" borderId="59" xfId="0" applyNumberFormat="1" applyFont="1" applyBorder="1" applyAlignment="1">
      <alignment horizontal="center" vertical="center" wrapText="1"/>
    </xf>
    <xf numFmtId="175" fontId="30" fillId="0" borderId="17" xfId="0" applyNumberFormat="1" applyFont="1" applyBorder="1" applyAlignment="1">
      <alignment horizontal="center" vertical="center"/>
    </xf>
    <xf numFmtId="175" fontId="30" fillId="0" borderId="11" xfId="0" applyNumberFormat="1" applyFont="1" applyBorder="1" applyAlignment="1">
      <alignment horizontal="center" vertical="center"/>
    </xf>
    <xf numFmtId="175" fontId="30" fillId="0" borderId="2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49" fontId="147" fillId="0" borderId="14" xfId="0" applyNumberFormat="1" applyFont="1" applyBorder="1" applyAlignment="1">
      <alignment horizontal="center" vertical="center" wrapText="1"/>
    </xf>
    <xf numFmtId="175" fontId="65" fillId="0" borderId="10" xfId="0" applyNumberFormat="1" applyFont="1" applyBorder="1" applyAlignment="1" applyProtection="1">
      <alignment horizontal="center" vertical="center" wrapText="1"/>
      <protection locked="0"/>
    </xf>
    <xf numFmtId="49" fontId="30" fillId="0" borderId="14" xfId="0" applyNumberFormat="1" applyFont="1" applyBorder="1" applyAlignment="1" applyProtection="1">
      <alignment horizontal="center" vertical="center" wrapText="1"/>
      <protection locked="0"/>
    </xf>
    <xf numFmtId="0" fontId="30" fillId="0" borderId="78" xfId="0" applyNumberFormat="1" applyFont="1" applyBorder="1" applyAlignment="1" applyProtection="1">
      <alignment vertical="top" wrapText="1"/>
      <protection locked="0"/>
    </xf>
    <xf numFmtId="175" fontId="67" fillId="0" borderId="10" xfId="0" applyNumberFormat="1" applyFont="1" applyBorder="1" applyAlignment="1" applyProtection="1">
      <alignment horizontal="center" vertical="center" wrapText="1"/>
      <protection locked="0"/>
    </xf>
    <xf numFmtId="1" fontId="33" fillId="0" borderId="20" xfId="0" applyNumberFormat="1" applyFont="1" applyBorder="1" applyAlignment="1">
      <alignment horizontal="center" vertical="center"/>
    </xf>
    <xf numFmtId="49" fontId="33" fillId="0" borderId="14" xfId="0" applyNumberFormat="1" applyFont="1" applyBorder="1" applyAlignment="1" applyProtection="1">
      <alignment horizontal="center" vertical="center" wrapText="1"/>
      <protection locked="0"/>
    </xf>
    <xf numFmtId="175" fontId="67" fillId="0" borderId="17" xfId="0" applyNumberFormat="1" applyFont="1" applyBorder="1" applyAlignment="1">
      <alignment horizontal="center" vertical="center" wrapText="1"/>
    </xf>
    <xf numFmtId="175" fontId="67" fillId="0" borderId="11" xfId="0" applyNumberFormat="1" applyFont="1" applyBorder="1" applyAlignment="1">
      <alignment horizontal="center" vertical="center" wrapText="1"/>
    </xf>
    <xf numFmtId="175" fontId="67" fillId="0" borderId="20" xfId="0" applyNumberFormat="1" applyFont="1" applyBorder="1" applyAlignment="1">
      <alignment horizontal="center" vertical="center" wrapText="1"/>
    </xf>
    <xf numFmtId="175" fontId="65" fillId="0" borderId="17" xfId="0" applyNumberFormat="1" applyFont="1" applyBorder="1" applyAlignment="1">
      <alignment horizontal="center" vertical="center" wrapText="1"/>
    </xf>
    <xf numFmtId="175" fontId="65" fillId="0" borderId="11" xfId="0" applyNumberFormat="1" applyFont="1" applyBorder="1" applyAlignment="1">
      <alignment horizontal="center" vertical="center" wrapText="1"/>
    </xf>
    <xf numFmtId="175" fontId="65" fillId="0" borderId="54" xfId="0" applyNumberFormat="1" applyFont="1" applyBorder="1" applyAlignment="1">
      <alignment horizontal="center" vertical="center" wrapText="1"/>
    </xf>
    <xf numFmtId="175" fontId="31" fillId="0" borderId="20" xfId="0" applyNumberFormat="1" applyFont="1" applyBorder="1" applyAlignment="1">
      <alignment horizontal="center" vertical="center"/>
    </xf>
    <xf numFmtId="49" fontId="30" fillId="31" borderId="48" xfId="0" applyNumberFormat="1" applyFont="1" applyFill="1" applyBorder="1" applyAlignment="1">
      <alignment horizontal="center" vertical="center" wrapText="1"/>
    </xf>
    <xf numFmtId="0" fontId="30" fillId="31" borderId="49" xfId="0" applyFont="1" applyFill="1" applyBorder="1" applyAlignment="1">
      <alignment horizontal="center" vertical="center" wrapText="1"/>
    </xf>
    <xf numFmtId="0" fontId="67" fillId="31" borderId="22" xfId="0" applyFont="1" applyFill="1" applyBorder="1" applyAlignment="1">
      <alignment horizontal="center" vertical="center" wrapText="1"/>
    </xf>
    <xf numFmtId="0" fontId="67" fillId="31" borderId="13" xfId="0" applyFont="1" applyFill="1" applyBorder="1" applyAlignment="1">
      <alignment horizontal="center" vertical="center" wrapText="1"/>
    </xf>
    <xf numFmtId="0" fontId="30" fillId="31" borderId="22" xfId="0" applyFont="1" applyFill="1" applyBorder="1" applyAlignment="1">
      <alignment horizontal="center" vertical="center"/>
    </xf>
    <xf numFmtId="0" fontId="67" fillId="0" borderId="24" xfId="0" applyFont="1" applyFill="1" applyBorder="1" applyAlignment="1">
      <alignment horizontal="center" vertical="center" wrapText="1"/>
    </xf>
    <xf numFmtId="0" fontId="33" fillId="0" borderId="55" xfId="0" applyFont="1" applyBorder="1" applyAlignment="1">
      <alignment horizontal="center" vertical="center"/>
    </xf>
    <xf numFmtId="49" fontId="33" fillId="0" borderId="32" xfId="0" applyNumberFormat="1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 wrapText="1"/>
    </xf>
    <xf numFmtId="0" fontId="67" fillId="0" borderId="55" xfId="0" applyFont="1" applyBorder="1" applyAlignment="1">
      <alignment horizontal="center" vertical="center" wrapText="1"/>
    </xf>
    <xf numFmtId="0" fontId="67" fillId="0" borderId="76" xfId="0" applyFont="1" applyBorder="1" applyAlignment="1">
      <alignment horizontal="center" vertical="center" wrapText="1"/>
    </xf>
    <xf numFmtId="0" fontId="67" fillId="0" borderId="41" xfId="0" applyFont="1" applyBorder="1" applyAlignment="1">
      <alignment horizontal="center" vertical="center" wrapText="1"/>
    </xf>
    <xf numFmtId="0" fontId="67" fillId="0" borderId="70" xfId="0" applyFont="1" applyBorder="1" applyAlignment="1">
      <alignment horizontal="center" vertical="center" wrapText="1"/>
    </xf>
    <xf numFmtId="0" fontId="65" fillId="0" borderId="59" xfId="0" applyFont="1" applyBorder="1" applyAlignment="1">
      <alignment horizontal="center" vertical="center" wrapText="1"/>
    </xf>
    <xf numFmtId="0" fontId="33" fillId="0" borderId="69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49" fontId="30" fillId="53" borderId="87" xfId="0" applyNumberFormat="1" applyFont="1" applyFill="1" applyBorder="1" applyAlignment="1">
      <alignment horizontal="center" vertical="center" wrapText="1"/>
    </xf>
    <xf numFmtId="0" fontId="30" fillId="53" borderId="88" xfId="0" applyFont="1" applyFill="1" applyBorder="1" applyAlignment="1">
      <alignment horizontal="center" vertical="center" wrapText="1"/>
    </xf>
    <xf numFmtId="0" fontId="30" fillId="53" borderId="39" xfId="0" applyFont="1" applyFill="1" applyBorder="1" applyAlignment="1">
      <alignment horizontal="center" vertical="center" wrapText="1"/>
    </xf>
    <xf numFmtId="175" fontId="67" fillId="53" borderId="56" xfId="0" applyNumberFormat="1" applyFont="1" applyFill="1" applyBorder="1" applyAlignment="1">
      <alignment horizontal="center" vertical="center" wrapText="1"/>
    </xf>
    <xf numFmtId="175" fontId="67" fillId="53" borderId="44" xfId="0" applyNumberFormat="1" applyFont="1" applyFill="1" applyBorder="1" applyAlignment="1">
      <alignment horizontal="center" vertical="center" wrapText="1"/>
    </xf>
    <xf numFmtId="175" fontId="30" fillId="53" borderId="59" xfId="0" applyNumberFormat="1" applyFont="1" applyFill="1" applyBorder="1" applyAlignment="1">
      <alignment horizontal="center" vertical="center"/>
    </xf>
    <xf numFmtId="49" fontId="30" fillId="31" borderId="32" xfId="0" applyNumberFormat="1" applyFont="1" applyFill="1" applyBorder="1" applyAlignment="1">
      <alignment horizontal="center" vertical="center" wrapText="1"/>
    </xf>
    <xf numFmtId="0" fontId="30" fillId="31" borderId="30" xfId="0" applyFont="1" applyFill="1" applyBorder="1" applyAlignment="1">
      <alignment horizontal="center" vertical="center" wrapText="1"/>
    </xf>
    <xf numFmtId="0" fontId="30" fillId="31" borderId="31" xfId="0" applyFont="1" applyFill="1" applyBorder="1" applyAlignment="1">
      <alignment vertical="top" wrapText="1"/>
    </xf>
    <xf numFmtId="175" fontId="67" fillId="31" borderId="55" xfId="0" applyNumberFormat="1" applyFont="1" applyFill="1" applyBorder="1" applyAlignment="1">
      <alignment horizontal="center" vertical="center" wrapText="1"/>
    </xf>
    <xf numFmtId="175" fontId="67" fillId="31" borderId="76" xfId="0" applyNumberFormat="1" applyFont="1" applyFill="1" applyBorder="1" applyAlignment="1">
      <alignment horizontal="center" vertical="center" wrapText="1"/>
    </xf>
    <xf numFmtId="175" fontId="67" fillId="31" borderId="41" xfId="0" applyNumberFormat="1" applyFont="1" applyFill="1" applyBorder="1" applyAlignment="1">
      <alignment horizontal="center" vertical="center" wrapText="1"/>
    </xf>
    <xf numFmtId="175" fontId="67" fillId="31" borderId="70" xfId="0" applyNumberFormat="1" applyFont="1" applyFill="1" applyBorder="1" applyAlignment="1">
      <alignment horizontal="center" vertical="center" wrapText="1"/>
    </xf>
    <xf numFmtId="0" fontId="30" fillId="31" borderId="70" xfId="0" applyFont="1" applyFill="1" applyBorder="1" applyAlignment="1">
      <alignment horizontal="center" vertical="center"/>
    </xf>
    <xf numFmtId="175" fontId="30" fillId="31" borderId="55" xfId="0" applyNumberFormat="1" applyFont="1" applyFill="1" applyBorder="1" applyAlignment="1">
      <alignment horizontal="center" vertical="center"/>
    </xf>
    <xf numFmtId="0" fontId="30" fillId="31" borderId="29" xfId="0" applyFont="1" applyFill="1" applyBorder="1" applyAlignment="1">
      <alignment horizontal="center" vertical="center" wrapText="1"/>
    </xf>
    <xf numFmtId="175" fontId="67" fillId="31" borderId="10" xfId="0" applyNumberFormat="1" applyFont="1" applyFill="1" applyBorder="1" applyAlignment="1">
      <alignment horizontal="center" vertical="center" wrapText="1"/>
    </xf>
    <xf numFmtId="175" fontId="67" fillId="31" borderId="17" xfId="0" applyNumberFormat="1" applyFont="1" applyFill="1" applyBorder="1" applyAlignment="1">
      <alignment horizontal="center" vertical="center" wrapText="1"/>
    </xf>
    <xf numFmtId="175" fontId="67" fillId="31" borderId="11" xfId="0" applyNumberFormat="1" applyFont="1" applyFill="1" applyBorder="1" applyAlignment="1">
      <alignment horizontal="center" vertical="center" wrapText="1"/>
    </xf>
    <xf numFmtId="175" fontId="67" fillId="31" borderId="20" xfId="0" applyNumberFormat="1" applyFont="1" applyFill="1" applyBorder="1" applyAlignment="1">
      <alignment horizontal="center" vertical="center" wrapText="1"/>
    </xf>
    <xf numFmtId="0" fontId="30" fillId="31" borderId="20" xfId="0" applyFont="1" applyFill="1" applyBorder="1" applyAlignment="1">
      <alignment horizontal="center" vertical="center"/>
    </xf>
    <xf numFmtId="175" fontId="30" fillId="31" borderId="10" xfId="0" applyNumberFormat="1" applyFont="1" applyFill="1" applyBorder="1" applyAlignment="1">
      <alignment horizontal="center" vertical="center"/>
    </xf>
    <xf numFmtId="0" fontId="30" fillId="31" borderId="29" xfId="0" applyFont="1" applyFill="1" applyBorder="1" applyAlignment="1">
      <alignment horizontal="center" vertical="center"/>
    </xf>
    <xf numFmtId="175" fontId="67" fillId="31" borderId="25" xfId="0" applyNumberFormat="1" applyFont="1" applyFill="1" applyBorder="1" applyAlignment="1">
      <alignment horizontal="center" vertical="center" wrapText="1"/>
    </xf>
    <xf numFmtId="49" fontId="30" fillId="50" borderId="14" xfId="0" applyNumberFormat="1" applyFont="1" applyFill="1" applyBorder="1" applyAlignment="1">
      <alignment horizontal="center" vertical="center" wrapText="1"/>
    </xf>
    <xf numFmtId="0" fontId="30" fillId="50" borderId="29" xfId="0" applyFont="1" applyFill="1" applyBorder="1" applyAlignment="1">
      <alignment horizontal="center" vertical="center"/>
    </xf>
    <xf numFmtId="0" fontId="30" fillId="50" borderId="78" xfId="0" applyFont="1" applyFill="1" applyBorder="1" applyAlignment="1">
      <alignment vertical="top" wrapText="1"/>
    </xf>
    <xf numFmtId="175" fontId="67" fillId="50" borderId="10" xfId="0" applyNumberFormat="1" applyFont="1" applyFill="1" applyBorder="1" applyAlignment="1">
      <alignment horizontal="center" vertical="center" wrapText="1"/>
    </xf>
    <xf numFmtId="175" fontId="67" fillId="50" borderId="25" xfId="0" applyNumberFormat="1" applyFont="1" applyFill="1" applyBorder="1" applyAlignment="1">
      <alignment horizontal="center" vertical="center" wrapText="1"/>
    </xf>
    <xf numFmtId="175" fontId="30" fillId="50" borderId="10" xfId="0" applyNumberFormat="1" applyFont="1" applyFill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78" xfId="0" applyFont="1" applyBorder="1" applyAlignment="1">
      <alignment vertical="center" wrapText="1"/>
    </xf>
    <xf numFmtId="175" fontId="46" fillId="0" borderId="10" xfId="0" applyNumberFormat="1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175" fontId="30" fillId="50" borderId="10" xfId="0" applyNumberFormat="1" applyFont="1" applyFill="1" applyBorder="1" applyAlignment="1">
      <alignment horizontal="center" vertical="center" wrapText="1"/>
    </xf>
    <xf numFmtId="0" fontId="67" fillId="50" borderId="17" xfId="0" applyFont="1" applyFill="1" applyBorder="1" applyAlignment="1">
      <alignment horizontal="center" vertical="center" wrapText="1"/>
    </xf>
    <xf numFmtId="0" fontId="67" fillId="50" borderId="11" xfId="0" applyFont="1" applyFill="1" applyBorder="1" applyAlignment="1">
      <alignment horizontal="center" vertical="center" wrapText="1"/>
    </xf>
    <xf numFmtId="0" fontId="67" fillId="50" borderId="20" xfId="0" applyFont="1" applyFill="1" applyBorder="1" applyAlignment="1">
      <alignment horizontal="center" vertical="center" wrapText="1"/>
    </xf>
    <xf numFmtId="0" fontId="30" fillId="50" borderId="20" xfId="0" applyFont="1" applyFill="1" applyBorder="1" applyAlignment="1">
      <alignment horizontal="center" vertical="center"/>
    </xf>
    <xf numFmtId="175" fontId="65" fillId="0" borderId="17" xfId="0" applyNumberFormat="1" applyFont="1" applyFill="1" applyBorder="1" applyAlignment="1">
      <alignment horizontal="center" vertical="center" wrapText="1"/>
    </xf>
    <xf numFmtId="175" fontId="65" fillId="0" borderId="11" xfId="0" applyNumberFormat="1" applyFont="1" applyFill="1" applyBorder="1" applyAlignment="1">
      <alignment horizontal="center" vertical="center" wrapText="1"/>
    </xf>
    <xf numFmtId="175" fontId="65" fillId="0" borderId="20" xfId="0" applyNumberFormat="1" applyFont="1" applyFill="1" applyBorder="1" applyAlignment="1">
      <alignment horizontal="center" vertical="center" wrapText="1"/>
    </xf>
    <xf numFmtId="175" fontId="65" fillId="0" borderId="34" xfId="0" applyNumberFormat="1" applyFont="1" applyFill="1" applyBorder="1" applyAlignment="1">
      <alignment horizontal="center" vertical="center" wrapText="1"/>
    </xf>
    <xf numFmtId="175" fontId="33" fillId="0" borderId="34" xfId="0" applyNumberFormat="1" applyFont="1" applyBorder="1" applyAlignment="1">
      <alignment horizontal="center" vertical="center"/>
    </xf>
    <xf numFmtId="49" fontId="26" fillId="0" borderId="31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60" fillId="0" borderId="0" xfId="0" applyFont="1" applyAlignment="1">
      <alignment horizontal="right"/>
    </xf>
    <xf numFmtId="175" fontId="2" fillId="0" borderId="71" xfId="0" applyNumberFormat="1" applyFont="1" applyFill="1" applyBorder="1" applyAlignment="1" applyProtection="1">
      <alignment horizontal="center" vertical="center"/>
      <protection locked="0"/>
    </xf>
    <xf numFmtId="175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50" xfId="0" applyBorder="1" applyAlignment="1">
      <alignment wrapText="1"/>
    </xf>
    <xf numFmtId="0" fontId="7" fillId="0" borderId="83" xfId="0" applyFont="1" applyBorder="1" applyAlignment="1">
      <alignment horizontal="center"/>
    </xf>
    <xf numFmtId="175" fontId="4" fillId="39" borderId="71" xfId="0" applyNumberFormat="1" applyFont="1" applyFill="1" applyBorder="1" applyAlignment="1">
      <alignment horizontal="center" vertical="center"/>
    </xf>
    <xf numFmtId="175" fontId="0" fillId="33" borderId="84" xfId="0" applyNumberFormat="1" applyFont="1" applyFill="1" applyBorder="1" applyAlignment="1">
      <alignment horizontal="center" vertical="center"/>
    </xf>
    <xf numFmtId="175" fontId="1" fillId="3" borderId="50" xfId="0" applyNumberFormat="1" applyFont="1" applyFill="1" applyBorder="1" applyAlignment="1" applyProtection="1">
      <alignment horizontal="center" vertical="center"/>
      <protection locked="0"/>
    </xf>
    <xf numFmtId="175" fontId="1" fillId="49" borderId="50" xfId="0" applyNumberFormat="1" applyFont="1" applyFill="1" applyBorder="1" applyAlignment="1" applyProtection="1">
      <alignment horizontal="center" vertical="center"/>
      <protection locked="0"/>
    </xf>
    <xf numFmtId="175" fontId="1" fillId="45" borderId="83" xfId="0" applyNumberFormat="1" applyFont="1" applyFill="1" applyBorder="1" applyAlignment="1" applyProtection="1">
      <alignment horizontal="center" vertical="center"/>
      <protection locked="0"/>
    </xf>
    <xf numFmtId="175" fontId="1" fillId="0" borderId="71" xfId="0" applyNumberFormat="1" applyFont="1" applyFill="1" applyBorder="1" applyAlignment="1" applyProtection="1">
      <alignment horizontal="center" vertical="center"/>
      <protection locked="0"/>
    </xf>
    <xf numFmtId="175" fontId="7" fillId="0" borderId="71" xfId="0" applyNumberFormat="1" applyFont="1" applyFill="1" applyBorder="1" applyAlignment="1" applyProtection="1">
      <alignment horizontal="center" vertical="center"/>
      <protection locked="0"/>
    </xf>
    <xf numFmtId="175" fontId="10" fillId="0" borderId="71" xfId="0" applyNumberFormat="1" applyFont="1" applyFill="1" applyBorder="1" applyAlignment="1" applyProtection="1">
      <alignment horizontal="center" vertical="center"/>
      <protection locked="0"/>
    </xf>
    <xf numFmtId="49" fontId="3" fillId="0" borderId="22" xfId="0" applyNumberFormat="1" applyFont="1" applyBorder="1" applyAlignment="1">
      <alignment horizontal="center" vertical="center" wrapText="1"/>
    </xf>
    <xf numFmtId="49" fontId="11" fillId="39" borderId="10" xfId="0" applyNumberFormat="1" applyFont="1" applyFill="1" applyBorder="1" applyAlignment="1">
      <alignment horizontal="center" vertical="center" wrapText="1"/>
    </xf>
    <xf numFmtId="49" fontId="6" fillId="33" borderId="59" xfId="0" applyNumberFormat="1" applyFont="1" applyFill="1" applyBorder="1" applyAlignment="1">
      <alignment horizontal="center" vertical="center" wrapText="1"/>
    </xf>
    <xf numFmtId="0" fontId="1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5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2" xfId="0" applyNumberFormat="1" applyFont="1" applyFill="1" applyBorder="1" applyAlignment="1" applyProtection="1">
      <alignment horizontal="center" vertical="center"/>
      <protection locked="0"/>
    </xf>
    <xf numFmtId="49" fontId="1" fillId="0" borderId="13" xfId="0" applyNumberFormat="1" applyFont="1" applyBorder="1" applyAlignment="1">
      <alignment horizontal="center" vertical="center" wrapText="1"/>
    </xf>
    <xf numFmtId="49" fontId="4" fillId="39" borderId="25" xfId="0" applyNumberFormat="1" applyFont="1" applyFill="1" applyBorder="1" applyAlignment="1">
      <alignment wrapText="1" readingOrder="1"/>
    </xf>
    <xf numFmtId="49" fontId="1" fillId="33" borderId="45" xfId="0" applyNumberFormat="1" applyFont="1" applyFill="1" applyBorder="1" applyAlignment="1">
      <alignment wrapText="1" readingOrder="1"/>
    </xf>
    <xf numFmtId="0" fontId="1" fillId="3" borderId="13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9" borderId="13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5" borderId="24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14" xfId="0" applyNumberFormat="1" applyFont="1" applyFill="1" applyBorder="1" applyAlignment="1" applyProtection="1">
      <alignment wrapText="1" readingOrder="1"/>
      <protection locked="0"/>
    </xf>
    <xf numFmtId="0" fontId="2" fillId="0" borderId="14" xfId="0" applyNumberFormat="1" applyFont="1" applyFill="1" applyBorder="1" applyAlignment="1" applyProtection="1">
      <alignment wrapText="1" readingOrder="1"/>
      <protection locked="0"/>
    </xf>
    <xf numFmtId="0" fontId="1" fillId="50" borderId="26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50" borderId="48" xfId="0" applyNumberFormat="1" applyFont="1" applyFill="1" applyBorder="1" applyAlignment="1" applyProtection="1">
      <alignment horizontal="center" vertical="center" wrapText="1"/>
      <protection locked="0"/>
    </xf>
    <xf numFmtId="0" fontId="1" fillId="50" borderId="61" xfId="0" applyNumberFormat="1" applyFont="1" applyFill="1" applyBorder="1" applyAlignment="1" applyProtection="1">
      <alignment horizontal="center" vertical="center" wrapText="1"/>
      <protection locked="0"/>
    </xf>
    <xf numFmtId="0" fontId="1" fillId="50" borderId="49" xfId="0" applyNumberFormat="1" applyFont="1" applyFill="1" applyBorder="1" applyAlignment="1" applyProtection="1">
      <alignment horizontal="center" vertical="center" wrapText="1"/>
      <protection locked="0"/>
    </xf>
    <xf numFmtId="0" fontId="1" fillId="50" borderId="43" xfId="0" applyNumberFormat="1" applyFont="1" applyFill="1" applyBorder="1" applyAlignment="1" applyProtection="1">
      <alignment horizontal="center" vertical="center" wrapText="1"/>
      <protection locked="0"/>
    </xf>
    <xf numFmtId="0" fontId="1" fillId="50" borderId="53" xfId="0" applyNumberFormat="1" applyFont="1" applyFill="1" applyBorder="1" applyAlignment="1" applyProtection="1">
      <alignment horizontal="center" vertical="center" wrapText="1"/>
      <protection locked="0"/>
    </xf>
    <xf numFmtId="175" fontId="1" fillId="50" borderId="86" xfId="0" applyNumberFormat="1" applyFont="1" applyFill="1" applyBorder="1" applyAlignment="1" applyProtection="1">
      <alignment horizontal="center" vertical="center"/>
      <protection locked="0"/>
    </xf>
    <xf numFmtId="0" fontId="1" fillId="50" borderId="13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5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50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50" borderId="16" xfId="0" applyNumberFormat="1" applyFont="1" applyFill="1" applyBorder="1" applyAlignment="1" applyProtection="1">
      <alignment horizontal="center" vertical="center" wrapText="1"/>
      <protection locked="0"/>
    </xf>
    <xf numFmtId="175" fontId="1" fillId="50" borderId="16" xfId="0" applyNumberFormat="1" applyFont="1" applyFill="1" applyBorder="1" applyAlignment="1" applyProtection="1">
      <alignment horizontal="center" vertical="center" wrapText="1"/>
      <protection locked="0"/>
    </xf>
    <xf numFmtId="175" fontId="1" fillId="50" borderId="22" xfId="0" applyNumberFormat="1" applyFont="1" applyFill="1" applyBorder="1" applyAlignment="1" applyProtection="1">
      <alignment horizontal="center" vertical="center" wrapText="1"/>
      <protection locked="0"/>
    </xf>
    <xf numFmtId="175" fontId="1" fillId="50" borderId="50" xfId="0" applyNumberFormat="1" applyFont="1" applyFill="1" applyBorder="1" applyAlignment="1" applyProtection="1">
      <alignment horizontal="center" vertical="center"/>
      <protection locked="0"/>
    </xf>
    <xf numFmtId="0" fontId="1" fillId="50" borderId="13" xfId="0" applyNumberFormat="1" applyFont="1" applyFill="1" applyBorder="1" applyAlignment="1" applyProtection="1">
      <alignment horizontal="left" vertical="center" wrapText="1" readingOrder="1"/>
      <protection locked="0"/>
    </xf>
    <xf numFmtId="0" fontId="10" fillId="50" borderId="19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23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27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22" xfId="0" applyNumberFormat="1" applyFont="1" applyFill="1" applyBorder="1" applyAlignment="1" applyProtection="1">
      <alignment horizontal="center" vertical="center" wrapText="1"/>
      <protection locked="0"/>
    </xf>
    <xf numFmtId="175" fontId="10" fillId="50" borderId="50" xfId="0" applyNumberFormat="1" applyFont="1" applyFill="1" applyBorder="1" applyAlignment="1" applyProtection="1">
      <alignment horizontal="center" vertical="center"/>
      <protection locked="0"/>
    </xf>
    <xf numFmtId="0" fontId="1" fillId="50" borderId="24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50" borderId="25" xfId="0" applyNumberFormat="1" applyFont="1" applyFill="1" applyBorder="1" applyAlignment="1" applyProtection="1">
      <alignment wrapText="1" readingOrder="1"/>
      <protection locked="0"/>
    </xf>
    <xf numFmtId="0" fontId="2" fillId="5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50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50" borderId="78" xfId="0" applyNumberFormat="1" applyFont="1" applyFill="1" applyBorder="1" applyAlignment="1" applyProtection="1">
      <alignment horizontal="center" vertical="center" wrapText="1"/>
      <protection locked="0"/>
    </xf>
    <xf numFmtId="0" fontId="2" fillId="50" borderId="10" xfId="0" applyNumberFormat="1" applyFont="1" applyFill="1" applyBorder="1" applyAlignment="1" applyProtection="1">
      <alignment horizontal="center" vertical="center" wrapText="1"/>
      <protection locked="0"/>
    </xf>
    <xf numFmtId="175" fontId="2" fillId="50" borderId="71" xfId="0" applyNumberFormat="1" applyFont="1" applyFill="1" applyBorder="1" applyAlignment="1" applyProtection="1">
      <alignment horizontal="center" vertical="center"/>
      <protection locked="0"/>
    </xf>
    <xf numFmtId="0" fontId="7" fillId="50" borderId="25" xfId="0" applyNumberFormat="1" applyFont="1" applyFill="1" applyBorder="1" applyAlignment="1" applyProtection="1">
      <alignment wrapText="1" readingOrder="1"/>
      <protection locked="0"/>
    </xf>
    <xf numFmtId="0" fontId="7" fillId="5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29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78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10" xfId="0" applyNumberFormat="1" applyFont="1" applyFill="1" applyBorder="1" applyAlignment="1" applyProtection="1">
      <alignment horizontal="center" vertical="center" wrapText="1"/>
      <protection locked="0"/>
    </xf>
    <xf numFmtId="175" fontId="7" fillId="50" borderId="71" xfId="0" applyNumberFormat="1" applyFont="1" applyFill="1" applyBorder="1" applyAlignment="1" applyProtection="1">
      <alignment horizontal="center" vertical="center"/>
      <protection locked="0"/>
    </xf>
    <xf numFmtId="0" fontId="1" fillId="50" borderId="25" xfId="0" applyNumberFormat="1" applyFont="1" applyFill="1" applyBorder="1" applyAlignment="1" applyProtection="1">
      <alignment wrapText="1" readingOrder="1"/>
      <protection locked="0"/>
    </xf>
    <xf numFmtId="0" fontId="1" fillId="5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50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50" borderId="78" xfId="0" applyNumberFormat="1" applyFont="1" applyFill="1" applyBorder="1" applyAlignment="1" applyProtection="1">
      <alignment horizontal="center" vertical="center" wrapText="1"/>
      <protection locked="0"/>
    </xf>
    <xf numFmtId="0" fontId="1" fillId="50" borderId="10" xfId="0" applyNumberFormat="1" applyFont="1" applyFill="1" applyBorder="1" applyAlignment="1" applyProtection="1">
      <alignment horizontal="center" vertical="center" wrapText="1"/>
      <protection locked="0"/>
    </xf>
    <xf numFmtId="175" fontId="1" fillId="50" borderId="71" xfId="0" applyNumberFormat="1" applyFont="1" applyFill="1" applyBorder="1" applyAlignment="1" applyProtection="1">
      <alignment horizontal="center" vertical="center"/>
      <protection locked="0"/>
    </xf>
    <xf numFmtId="0" fontId="2" fillId="50" borderId="25" xfId="0" applyNumberFormat="1" applyFont="1" applyFill="1" applyBorder="1" applyAlignment="1" applyProtection="1">
      <alignment vertical="center" wrapText="1"/>
      <protection locked="0"/>
    </xf>
    <xf numFmtId="0" fontId="7" fillId="5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50" borderId="78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78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10" xfId="0" applyNumberFormat="1" applyFont="1" applyFill="1" applyBorder="1" applyAlignment="1" applyProtection="1">
      <alignment horizontal="center" vertical="center" wrapText="1"/>
      <protection locked="0"/>
    </xf>
    <xf numFmtId="175" fontId="7" fillId="50" borderId="71" xfId="0" applyNumberFormat="1" applyFont="1" applyFill="1" applyBorder="1" applyAlignment="1" applyProtection="1">
      <alignment horizontal="center" vertical="center"/>
      <protection locked="0"/>
    </xf>
    <xf numFmtId="0" fontId="10" fillId="50" borderId="25" xfId="0" applyNumberFormat="1" applyFont="1" applyFill="1" applyBorder="1" applyAlignment="1" applyProtection="1">
      <alignment vertical="center" wrapText="1"/>
      <protection locked="0"/>
    </xf>
    <xf numFmtId="0" fontId="0" fillId="50" borderId="14" xfId="0" applyNumberFormat="1" applyFill="1" applyBorder="1" applyAlignment="1" applyProtection="1">
      <alignment horizontal="center" vertical="center" wrapText="1"/>
      <protection locked="0"/>
    </xf>
    <xf numFmtId="0" fontId="0" fillId="50" borderId="11" xfId="0" applyNumberFormat="1" applyFill="1" applyBorder="1" applyAlignment="1" applyProtection="1">
      <alignment horizontal="center" vertical="center" wrapText="1"/>
      <protection locked="0"/>
    </xf>
    <xf numFmtId="0" fontId="0" fillId="50" borderId="29" xfId="0" applyNumberFormat="1" applyFill="1" applyBorder="1" applyAlignment="1" applyProtection="1">
      <alignment horizontal="center" vertical="center" wrapText="1"/>
      <protection locked="0"/>
    </xf>
    <xf numFmtId="0" fontId="8" fillId="50" borderId="78" xfId="0" applyNumberFormat="1" applyFont="1" applyFill="1" applyBorder="1" applyAlignment="1" applyProtection="1">
      <alignment horizontal="center" vertical="center" wrapText="1"/>
      <protection locked="0"/>
    </xf>
    <xf numFmtId="0" fontId="8" fillId="50" borderId="10" xfId="0" applyNumberFormat="1" applyFont="1" applyFill="1" applyBorder="1" applyAlignment="1" applyProtection="1">
      <alignment horizontal="center" vertical="center" wrapText="1"/>
      <protection locked="0"/>
    </xf>
    <xf numFmtId="175" fontId="0" fillId="50" borderId="71" xfId="0" applyNumberFormat="1" applyFont="1" applyFill="1" applyBorder="1" applyAlignment="1" applyProtection="1">
      <alignment horizontal="center" vertical="center"/>
      <protection locked="0"/>
    </xf>
    <xf numFmtId="0" fontId="8" fillId="50" borderId="25" xfId="0" applyNumberFormat="1" applyFont="1" applyFill="1" applyBorder="1" applyAlignment="1" applyProtection="1">
      <alignment wrapText="1" readingOrder="1"/>
      <protection locked="0"/>
    </xf>
    <xf numFmtId="0" fontId="8" fillId="5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50" borderId="29" xfId="0" applyNumberFormat="1" applyFont="1" applyFill="1" applyBorder="1" applyAlignment="1" applyProtection="1">
      <alignment horizontal="center" vertical="center" wrapText="1"/>
      <protection locked="0"/>
    </xf>
    <xf numFmtId="0" fontId="9" fillId="50" borderId="25" xfId="0" applyNumberFormat="1" applyFont="1" applyFill="1" applyBorder="1" applyAlignment="1" applyProtection="1">
      <alignment wrapText="1" readingOrder="1"/>
      <protection locked="0"/>
    </xf>
    <xf numFmtId="0" fontId="9" fillId="50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50" borderId="29" xfId="0" applyNumberFormat="1" applyFont="1" applyFill="1" applyBorder="1" applyAlignment="1" applyProtection="1">
      <alignment horizontal="center" vertical="center" wrapText="1"/>
      <protection locked="0"/>
    </xf>
    <xf numFmtId="0" fontId="9" fillId="50" borderId="78" xfId="0" applyNumberFormat="1" applyFont="1" applyFill="1" applyBorder="1" applyAlignment="1" applyProtection="1">
      <alignment horizontal="center" vertical="center" wrapText="1"/>
      <protection locked="0"/>
    </xf>
    <xf numFmtId="0" fontId="9" fillId="5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25" xfId="0" applyNumberFormat="1" applyFont="1" applyFill="1" applyBorder="1" applyAlignment="1" applyProtection="1">
      <alignment vertical="center" wrapText="1"/>
      <protection locked="0"/>
    </xf>
    <xf numFmtId="0" fontId="9" fillId="50" borderId="78" xfId="0" applyNumberFormat="1" applyFont="1" applyFill="1" applyBorder="1" applyAlignment="1" applyProtection="1">
      <alignment horizontal="center" vertical="center" wrapText="1"/>
      <protection locked="0"/>
    </xf>
    <xf numFmtId="0" fontId="9" fillId="5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25" xfId="0" applyNumberFormat="1" applyFont="1" applyFill="1" applyBorder="1" applyAlignment="1" applyProtection="1">
      <alignment wrapText="1" readingOrder="1"/>
      <protection locked="0"/>
    </xf>
    <xf numFmtId="0" fontId="10" fillId="50" borderId="14" xfId="0" applyNumberFormat="1" applyFont="1" applyFill="1" applyBorder="1" applyAlignment="1" applyProtection="1">
      <alignment horizontal="center" vertical="center" wrapText="1"/>
      <protection locked="0"/>
    </xf>
    <xf numFmtId="0" fontId="26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26" fillId="50" borderId="29" xfId="0" applyNumberFormat="1" applyFont="1" applyFill="1" applyBorder="1" applyAlignment="1" applyProtection="1">
      <alignment horizontal="center" vertical="center" wrapText="1"/>
      <protection locked="0"/>
    </xf>
    <xf numFmtId="0" fontId="26" fillId="50" borderId="78" xfId="0" applyNumberFormat="1" applyFont="1" applyFill="1" applyBorder="1" applyAlignment="1" applyProtection="1">
      <alignment horizontal="center" vertical="center" wrapText="1"/>
      <protection locked="0"/>
    </xf>
    <xf numFmtId="0" fontId="26" fillId="5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50" borderId="25" xfId="0" applyNumberFormat="1" applyFont="1" applyFill="1" applyBorder="1" applyAlignment="1" applyProtection="1">
      <alignment wrapText="1" readingOrder="1"/>
      <protection locked="0"/>
    </xf>
    <xf numFmtId="0" fontId="8" fillId="5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50" borderId="29" xfId="0" applyNumberFormat="1" applyFont="1" applyFill="1" applyBorder="1" applyAlignment="1" applyProtection="1">
      <alignment horizontal="center" vertical="center" wrapText="1"/>
      <protection locked="0"/>
    </xf>
    <xf numFmtId="0" fontId="8" fillId="50" borderId="78" xfId="0" applyNumberFormat="1" applyFont="1" applyFill="1" applyBorder="1" applyAlignment="1" applyProtection="1">
      <alignment horizontal="center" vertical="center" wrapText="1"/>
      <protection locked="0"/>
    </xf>
    <xf numFmtId="0" fontId="8" fillId="5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5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50" borderId="78" xfId="0" applyNumberFormat="1" applyFont="1" applyFill="1" applyBorder="1" applyAlignment="1" applyProtection="1">
      <alignment horizontal="center" vertical="center" wrapText="1"/>
      <protection locked="0"/>
    </xf>
    <xf numFmtId="0" fontId="6" fillId="5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50" borderId="54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54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59" xfId="0" applyNumberFormat="1" applyFont="1" applyFill="1" applyBorder="1" applyAlignment="1" applyProtection="1">
      <alignment horizontal="center" vertical="center" wrapText="1"/>
      <protection locked="0"/>
    </xf>
    <xf numFmtId="175" fontId="7" fillId="50" borderId="84" xfId="0" applyNumberFormat="1" applyFont="1" applyFill="1" applyBorder="1" applyAlignment="1" applyProtection="1">
      <alignment horizontal="center" vertical="center"/>
      <protection locked="0"/>
    </xf>
    <xf numFmtId="0" fontId="7" fillId="50" borderId="45" xfId="0" applyNumberFormat="1" applyFont="1" applyFill="1" applyBorder="1" applyAlignment="1" applyProtection="1">
      <alignment vertical="center" wrapText="1"/>
      <protection locked="0"/>
    </xf>
    <xf numFmtId="49" fontId="7" fillId="5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50" borderId="59" xfId="0" applyNumberFormat="1" applyFont="1" applyFill="1" applyBorder="1" applyAlignment="1" applyProtection="1">
      <alignment horizontal="center" vertical="center" wrapText="1"/>
      <protection locked="0"/>
    </xf>
    <xf numFmtId="0" fontId="1" fillId="50" borderId="25" xfId="0" applyNumberFormat="1" applyFont="1" applyFill="1" applyBorder="1" applyAlignment="1" applyProtection="1">
      <alignment horizontal="left" vertical="center" wrapText="1" readingOrder="1"/>
      <protection locked="0"/>
    </xf>
    <xf numFmtId="49" fontId="1" fillId="50" borderId="11" xfId="0" applyNumberFormat="1" applyFont="1" applyFill="1" applyBorder="1" applyAlignment="1" applyProtection="1">
      <alignment horizontal="center" vertical="center" wrapText="1"/>
      <protection locked="0"/>
    </xf>
    <xf numFmtId="175" fontId="10" fillId="50" borderId="16" xfId="0" applyNumberFormat="1" applyFont="1" applyFill="1" applyBorder="1" applyAlignment="1" applyProtection="1">
      <alignment horizontal="center" vertical="center" wrapText="1"/>
      <protection locked="0"/>
    </xf>
    <xf numFmtId="175" fontId="10" fillId="5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50" borderId="78" xfId="0" applyNumberFormat="1" applyFont="1" applyFill="1" applyBorder="1" applyAlignment="1" applyProtection="1">
      <alignment horizontal="center" vertical="center" wrapText="1"/>
      <protection locked="0"/>
    </xf>
    <xf numFmtId="0" fontId="57" fillId="50" borderId="78" xfId="0" applyNumberFormat="1" applyFont="1" applyFill="1" applyBorder="1" applyAlignment="1" applyProtection="1">
      <alignment horizontal="center" vertical="center" wrapText="1"/>
      <protection locked="0"/>
    </xf>
    <xf numFmtId="0" fontId="57" fillId="5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5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50" borderId="25" xfId="0" applyNumberFormat="1" applyFont="1" applyFill="1" applyBorder="1" applyAlignment="1" applyProtection="1">
      <alignment vertical="center" wrapText="1"/>
      <protection locked="0"/>
    </xf>
    <xf numFmtId="0" fontId="2" fillId="5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50" borderId="29" xfId="0" applyNumberFormat="1" applyFont="1" applyFill="1" applyBorder="1" applyAlignment="1" applyProtection="1">
      <alignment horizontal="center" vertical="center" wrapText="1"/>
      <protection locked="0"/>
    </xf>
    <xf numFmtId="175" fontId="2" fillId="50" borderId="71" xfId="0" applyNumberFormat="1" applyFont="1" applyFill="1" applyBorder="1" applyAlignment="1" applyProtection="1">
      <alignment horizontal="center" vertical="center"/>
      <protection locked="0"/>
    </xf>
    <xf numFmtId="0" fontId="10" fillId="50" borderId="29" xfId="0" applyNumberFormat="1" applyFont="1" applyFill="1" applyBorder="1" applyAlignment="1" applyProtection="1">
      <alignment horizontal="center" vertical="center" wrapText="1"/>
      <protection locked="0"/>
    </xf>
    <xf numFmtId="0" fontId="36" fillId="50" borderId="78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78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10" xfId="0" applyNumberFormat="1" applyFont="1" applyFill="1" applyBorder="1" applyAlignment="1" applyProtection="1">
      <alignment horizontal="center" vertical="center" wrapText="1"/>
      <protection locked="0"/>
    </xf>
    <xf numFmtId="175" fontId="10" fillId="50" borderId="71" xfId="0" applyNumberFormat="1" applyFont="1" applyFill="1" applyBorder="1" applyAlignment="1" applyProtection="1">
      <alignment horizontal="center" vertical="center"/>
      <protection locked="0"/>
    </xf>
    <xf numFmtId="175" fontId="2" fillId="50" borderId="78" xfId="0" applyNumberFormat="1" applyFont="1" applyFill="1" applyBorder="1" applyAlignment="1" applyProtection="1">
      <alignment horizontal="center" vertical="center" wrapText="1"/>
      <protection locked="0"/>
    </xf>
    <xf numFmtId="175" fontId="2" fillId="5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50" borderId="11" xfId="0" applyNumberFormat="1" applyFont="1" applyFill="1" applyBorder="1" applyAlignment="1" applyProtection="1">
      <alignment horizontal="center" vertical="center"/>
      <protection locked="0"/>
    </xf>
    <xf numFmtId="0" fontId="2" fillId="50" borderId="78" xfId="0" applyNumberFormat="1" applyFont="1" applyFill="1" applyBorder="1" applyAlignment="1" applyProtection="1">
      <alignment horizontal="center" vertical="center"/>
      <protection locked="0"/>
    </xf>
    <xf numFmtId="0" fontId="2" fillId="50" borderId="10" xfId="0" applyNumberFormat="1" applyFont="1" applyFill="1" applyBorder="1" applyAlignment="1" applyProtection="1">
      <alignment horizontal="center" vertical="center"/>
      <protection locked="0"/>
    </xf>
    <xf numFmtId="175" fontId="2" fillId="50" borderId="20" xfId="0" applyNumberFormat="1" applyFont="1" applyFill="1" applyBorder="1" applyAlignment="1" applyProtection="1">
      <alignment horizontal="center" vertical="center" wrapText="1"/>
      <protection locked="0"/>
    </xf>
    <xf numFmtId="175" fontId="7" fillId="50" borderId="20" xfId="0" applyNumberFormat="1" applyFont="1" applyFill="1" applyBorder="1" applyAlignment="1" applyProtection="1">
      <alignment horizontal="center" vertical="center" wrapText="1"/>
      <protection locked="0"/>
    </xf>
    <xf numFmtId="175" fontId="7" fillId="50" borderId="10" xfId="0" applyNumberFormat="1" applyFont="1" applyFill="1" applyBorder="1" applyAlignment="1" applyProtection="1">
      <alignment horizontal="center" vertical="center" wrapText="1"/>
      <protection locked="0"/>
    </xf>
    <xf numFmtId="175" fontId="2" fillId="50" borderId="20" xfId="0" applyNumberFormat="1" applyFont="1" applyFill="1" applyBorder="1" applyAlignment="1" applyProtection="1">
      <alignment horizontal="center" vertical="center" wrapText="1"/>
      <protection locked="0"/>
    </xf>
    <xf numFmtId="175" fontId="2" fillId="5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5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5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50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50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50" borderId="32" xfId="0" applyNumberFormat="1" applyFont="1" applyFill="1" applyBorder="1" applyAlignment="1" applyProtection="1">
      <alignment horizontal="center" vertical="center" wrapText="1"/>
      <protection locked="0"/>
    </xf>
    <xf numFmtId="49" fontId="2" fillId="5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5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50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50" borderId="31" xfId="0" applyNumberFormat="1" applyFont="1" applyFill="1" applyBorder="1" applyAlignment="1" applyProtection="1">
      <alignment horizontal="center" vertical="center" wrapText="1"/>
      <protection locked="0"/>
    </xf>
    <xf numFmtId="175" fontId="2" fillId="50" borderId="31" xfId="0" applyNumberFormat="1" applyFont="1" applyFill="1" applyBorder="1" applyAlignment="1" applyProtection="1">
      <alignment horizontal="center" vertical="center" wrapText="1"/>
      <protection locked="0"/>
    </xf>
    <xf numFmtId="175" fontId="2" fillId="50" borderId="55" xfId="0" applyNumberFormat="1" applyFont="1" applyFill="1" applyBorder="1" applyAlignment="1" applyProtection="1">
      <alignment horizontal="center" vertical="center" wrapText="1"/>
      <protection locked="0"/>
    </xf>
    <xf numFmtId="175" fontId="2" fillId="50" borderId="83" xfId="0" applyNumberFormat="1" applyFont="1" applyFill="1" applyBorder="1" applyAlignment="1" applyProtection="1">
      <alignment horizontal="center" vertical="center"/>
      <protection locked="0"/>
    </xf>
    <xf numFmtId="0" fontId="52" fillId="50" borderId="40" xfId="0" applyNumberFormat="1" applyFont="1" applyFill="1" applyBorder="1" applyAlignment="1" applyProtection="1">
      <alignment wrapText="1"/>
      <protection locked="0"/>
    </xf>
    <xf numFmtId="0" fontId="2" fillId="5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12" xfId="0" applyNumberFormat="1" applyFont="1" applyFill="1" applyBorder="1" applyAlignment="1" applyProtection="1">
      <alignment horizontal="center" vertical="center" wrapText="1"/>
      <protection locked="0"/>
    </xf>
    <xf numFmtId="175" fontId="7" fillId="50" borderId="78" xfId="0" applyNumberFormat="1" applyFont="1" applyFill="1" applyBorder="1" applyAlignment="1" applyProtection="1">
      <alignment horizontal="center" vertical="center" wrapText="1"/>
      <protection locked="0"/>
    </xf>
    <xf numFmtId="175" fontId="7" fillId="50" borderId="83" xfId="0" applyNumberFormat="1" applyFont="1" applyFill="1" applyBorder="1" applyAlignment="1" applyProtection="1">
      <alignment horizontal="center" vertical="center"/>
      <protection locked="0"/>
    </xf>
    <xf numFmtId="0" fontId="2" fillId="5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28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54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59" xfId="0" applyNumberFormat="1" applyFont="1" applyFill="1" applyBorder="1" applyAlignment="1" applyProtection="1">
      <alignment horizontal="center" vertical="center" wrapText="1"/>
      <protection locked="0"/>
    </xf>
    <xf numFmtId="0" fontId="2" fillId="50" borderId="55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78" xfId="0" applyNumberFormat="1" applyFont="1" applyFill="1" applyBorder="1" applyAlignment="1" applyProtection="1">
      <alignment horizontal="center" vertical="center" wrapText="1"/>
      <protection locked="0"/>
    </xf>
    <xf numFmtId="175" fontId="10" fillId="50" borderId="71" xfId="0" applyNumberFormat="1" applyFont="1" applyFill="1" applyBorder="1" applyAlignment="1" applyProtection="1">
      <alignment horizontal="center" vertical="center"/>
      <protection locked="0"/>
    </xf>
    <xf numFmtId="175" fontId="7" fillId="50" borderId="54" xfId="0" applyNumberFormat="1" applyFont="1" applyFill="1" applyBorder="1" applyAlignment="1" applyProtection="1">
      <alignment horizontal="center" vertical="center" wrapText="1"/>
      <protection locked="0"/>
    </xf>
    <xf numFmtId="175" fontId="7" fillId="50" borderId="59" xfId="0" applyNumberFormat="1" applyFont="1" applyFill="1" applyBorder="1" applyAlignment="1" applyProtection="1">
      <alignment horizontal="center" vertical="center" wrapText="1"/>
      <protection locked="0"/>
    </xf>
    <xf numFmtId="0" fontId="2" fillId="50" borderId="25" xfId="0" applyNumberFormat="1" applyFont="1" applyFill="1" applyBorder="1" applyAlignment="1" applyProtection="1">
      <alignment horizontal="left" wrapText="1" readingOrder="1"/>
      <protection locked="0"/>
    </xf>
    <xf numFmtId="0" fontId="10" fillId="50" borderId="10" xfId="0" applyNumberFormat="1" applyFont="1" applyFill="1" applyBorder="1" applyAlignment="1" applyProtection="1">
      <alignment horizontal="center" vertical="center" wrapText="1"/>
      <protection locked="0"/>
    </xf>
    <xf numFmtId="175" fontId="2" fillId="50" borderId="78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50" borderId="78" xfId="0" applyNumberFormat="1" applyFont="1" applyFill="1" applyBorder="1" applyAlignment="1" applyProtection="1">
      <alignment horizontal="center" vertical="center"/>
      <protection locked="0"/>
    </xf>
    <xf numFmtId="0" fontId="1" fillId="50" borderId="10" xfId="0" applyNumberFormat="1" applyFont="1" applyFill="1" applyBorder="1" applyAlignment="1" applyProtection="1">
      <alignment horizontal="center" vertical="center"/>
      <protection locked="0"/>
    </xf>
    <xf numFmtId="0" fontId="2" fillId="50" borderId="30" xfId="0" applyNumberFormat="1" applyFont="1" applyFill="1" applyBorder="1" applyAlignment="1" applyProtection="1">
      <alignment horizontal="center" vertical="center"/>
      <protection locked="0"/>
    </xf>
    <xf numFmtId="175" fontId="2" fillId="50" borderId="78" xfId="0" applyNumberFormat="1" applyFont="1" applyFill="1" applyBorder="1" applyAlignment="1" applyProtection="1">
      <alignment horizontal="center" vertical="center"/>
      <protection locked="0"/>
    </xf>
    <xf numFmtId="175" fontId="7" fillId="50" borderId="78" xfId="0" applyNumberFormat="1" applyFont="1" applyFill="1" applyBorder="1" applyAlignment="1" applyProtection="1">
      <alignment horizontal="center" vertical="center"/>
      <protection locked="0"/>
    </xf>
    <xf numFmtId="0" fontId="1" fillId="50" borderId="30" xfId="0" applyNumberFormat="1" applyFont="1" applyFill="1" applyBorder="1" applyAlignment="1" applyProtection="1">
      <alignment horizontal="center" vertical="center"/>
      <protection locked="0"/>
    </xf>
    <xf numFmtId="0" fontId="7" fillId="50" borderId="78" xfId="0" applyNumberFormat="1" applyFont="1" applyFill="1" applyBorder="1" applyAlignment="1" applyProtection="1">
      <alignment horizontal="center" vertical="center"/>
      <protection locked="0"/>
    </xf>
    <xf numFmtId="0" fontId="7" fillId="50" borderId="10" xfId="0" applyNumberFormat="1" applyFont="1" applyFill="1" applyBorder="1" applyAlignment="1" applyProtection="1">
      <alignment horizontal="center" vertical="center"/>
      <protection locked="0"/>
    </xf>
    <xf numFmtId="0" fontId="1" fillId="50" borderId="54" xfId="0" applyNumberFormat="1" applyFont="1" applyFill="1" applyBorder="1" applyAlignment="1" applyProtection="1">
      <alignment horizontal="center" vertical="center"/>
      <protection locked="0"/>
    </xf>
    <xf numFmtId="175" fontId="7" fillId="50" borderId="54" xfId="0" applyNumberFormat="1" applyFont="1" applyFill="1" applyBorder="1" applyAlignment="1" applyProtection="1">
      <alignment horizontal="center" vertical="center"/>
      <protection locked="0"/>
    </xf>
    <xf numFmtId="175" fontId="7" fillId="50" borderId="59" xfId="0" applyNumberFormat="1" applyFont="1" applyFill="1" applyBorder="1" applyAlignment="1" applyProtection="1">
      <alignment horizontal="center" vertical="center"/>
      <protection locked="0"/>
    </xf>
    <xf numFmtId="0" fontId="10" fillId="50" borderId="13" xfId="0" applyNumberFormat="1" applyFont="1" applyFill="1" applyBorder="1" applyAlignment="1" applyProtection="1">
      <alignment horizontal="left" vertical="center" wrapText="1" readingOrder="1"/>
      <protection locked="0"/>
    </xf>
    <xf numFmtId="175" fontId="7" fillId="50" borderId="54" xfId="0" applyNumberFormat="1" applyFont="1" applyFill="1" applyBorder="1" applyAlignment="1" applyProtection="1">
      <alignment horizontal="center" vertical="center" wrapText="1"/>
      <protection locked="0"/>
    </xf>
    <xf numFmtId="175" fontId="7" fillId="50" borderId="59" xfId="0" applyNumberFormat="1" applyFont="1" applyFill="1" applyBorder="1" applyAlignment="1" applyProtection="1">
      <alignment horizontal="center" vertical="center" wrapText="1"/>
      <protection locked="0"/>
    </xf>
    <xf numFmtId="0" fontId="2" fillId="50" borderId="29" xfId="0" applyNumberFormat="1" applyFont="1" applyFill="1" applyBorder="1" applyAlignment="1" applyProtection="1">
      <alignment horizontal="center" vertical="center"/>
      <protection locked="0"/>
    </xf>
    <xf numFmtId="49" fontId="2" fillId="50" borderId="11" xfId="0" applyNumberFormat="1" applyFont="1" applyFill="1" applyBorder="1" applyAlignment="1" applyProtection="1">
      <alignment horizontal="center" vertical="center"/>
      <protection locked="0"/>
    </xf>
    <xf numFmtId="175" fontId="7" fillId="50" borderId="78" xfId="0" applyNumberFormat="1" applyFont="1" applyFill="1" applyBorder="1" applyAlignment="1" applyProtection="1">
      <alignment horizontal="center" vertical="center" wrapText="1"/>
      <protection locked="0"/>
    </xf>
    <xf numFmtId="175" fontId="7" fillId="5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11" xfId="0" applyNumberFormat="1" applyFont="1" applyFill="1" applyBorder="1" applyAlignment="1" applyProtection="1">
      <alignment horizontal="center" vertical="center"/>
      <protection locked="0"/>
    </xf>
    <xf numFmtId="0" fontId="7" fillId="50" borderId="29" xfId="0" applyNumberFormat="1" applyFont="1" applyFill="1" applyBorder="1" applyAlignment="1" applyProtection="1">
      <alignment horizontal="center" vertical="center"/>
      <protection locked="0"/>
    </xf>
    <xf numFmtId="0" fontId="10" fillId="50" borderId="78" xfId="0" applyNumberFormat="1" applyFont="1" applyFill="1" applyBorder="1" applyAlignment="1" applyProtection="1">
      <alignment horizontal="center" vertical="center"/>
      <protection locked="0"/>
    </xf>
    <xf numFmtId="0" fontId="9" fillId="50" borderId="78" xfId="0" applyNumberFormat="1" applyFont="1" applyFill="1" applyBorder="1" applyAlignment="1" applyProtection="1">
      <alignment horizontal="center" vertical="center"/>
      <protection locked="0"/>
    </xf>
    <xf numFmtId="0" fontId="2" fillId="50" borderId="78" xfId="0" applyNumberFormat="1" applyFont="1" applyFill="1" applyBorder="1" applyAlignment="1" applyProtection="1">
      <alignment horizontal="center" vertical="center"/>
      <protection locked="0"/>
    </xf>
    <xf numFmtId="0" fontId="2" fillId="50" borderId="10" xfId="0" applyNumberFormat="1" applyFont="1" applyFill="1" applyBorder="1" applyAlignment="1" applyProtection="1">
      <alignment horizontal="center" vertical="center"/>
      <protection locked="0"/>
    </xf>
    <xf numFmtId="0" fontId="7" fillId="50" borderId="45" xfId="0" applyNumberFormat="1" applyFont="1" applyFill="1" applyBorder="1" applyAlignment="1" applyProtection="1">
      <alignment wrapText="1" readingOrder="1"/>
      <protection locked="0"/>
    </xf>
    <xf numFmtId="0" fontId="7" fillId="50" borderId="12" xfId="0" applyNumberFormat="1" applyFont="1" applyFill="1" applyBorder="1" applyAlignment="1" applyProtection="1">
      <alignment horizontal="center" vertical="center"/>
      <protection locked="0"/>
    </xf>
    <xf numFmtId="0" fontId="7" fillId="50" borderId="12" xfId="0" applyNumberFormat="1" applyFont="1" applyFill="1" applyBorder="1" applyAlignment="1" applyProtection="1">
      <alignment horizontal="center" vertical="center"/>
      <protection locked="0"/>
    </xf>
    <xf numFmtId="0" fontId="7" fillId="50" borderId="28" xfId="0" applyNumberFormat="1" applyFont="1" applyFill="1" applyBorder="1" applyAlignment="1" applyProtection="1">
      <alignment horizontal="center" vertical="center"/>
      <protection locked="0"/>
    </xf>
    <xf numFmtId="0" fontId="9" fillId="50" borderId="54" xfId="0" applyNumberFormat="1" applyFont="1" applyFill="1" applyBorder="1" applyAlignment="1" applyProtection="1">
      <alignment horizontal="center" vertical="center"/>
      <protection locked="0"/>
    </xf>
    <xf numFmtId="0" fontId="7" fillId="50" borderId="54" xfId="0" applyNumberFormat="1" applyFont="1" applyFill="1" applyBorder="1" applyAlignment="1" applyProtection="1">
      <alignment horizontal="center" vertical="center"/>
      <protection locked="0"/>
    </xf>
    <xf numFmtId="0" fontId="7" fillId="50" borderId="59" xfId="0" applyNumberFormat="1" applyFont="1" applyFill="1" applyBorder="1" applyAlignment="1" applyProtection="1">
      <alignment horizontal="center" vertical="center"/>
      <protection locked="0"/>
    </xf>
    <xf numFmtId="0" fontId="7" fillId="50" borderId="78" xfId="0" applyNumberFormat="1" applyFont="1" applyFill="1" applyBorder="1" applyAlignment="1" applyProtection="1">
      <alignment horizontal="center" vertical="center"/>
      <protection locked="0"/>
    </xf>
    <xf numFmtId="0" fontId="27" fillId="50" borderId="0" xfId="0" applyNumberFormat="1" applyFont="1" applyFill="1" applyBorder="1" applyAlignment="1" applyProtection="1">
      <alignment horizontal="center" vertical="center"/>
      <protection locked="0"/>
    </xf>
    <xf numFmtId="0" fontId="7" fillId="50" borderId="0" xfId="0" applyNumberFormat="1" applyFont="1" applyFill="1" applyBorder="1" applyAlignment="1" applyProtection="1">
      <alignment horizontal="center" vertical="center"/>
      <protection locked="0"/>
    </xf>
    <xf numFmtId="0" fontId="7" fillId="50" borderId="77" xfId="0" applyNumberFormat="1" applyFont="1" applyFill="1" applyBorder="1" applyAlignment="1" applyProtection="1">
      <alignment horizontal="center" vertical="center"/>
      <protection locked="0"/>
    </xf>
    <xf numFmtId="49" fontId="8" fillId="0" borderId="40" xfId="0" applyNumberFormat="1" applyFont="1" applyFill="1" applyBorder="1" applyAlignment="1" applyProtection="1">
      <alignment horizontal="center" vertical="center"/>
      <protection locked="0"/>
    </xf>
    <xf numFmtId="0" fontId="2" fillId="50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69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26" xfId="0" applyNumberFormat="1" applyFont="1" applyFill="1" applyBorder="1" applyAlignment="1" applyProtection="1">
      <alignment horizontal="left" vertical="center" wrapText="1" readingOrder="1"/>
      <protection locked="0"/>
    </xf>
    <xf numFmtId="49" fontId="1" fillId="4" borderId="2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40" xfId="0" applyNumberFormat="1" applyBorder="1" applyAlignment="1">
      <alignment/>
    </xf>
    <xf numFmtId="49" fontId="10" fillId="35" borderId="25" xfId="0" applyNumberFormat="1" applyFont="1" applyFill="1" applyBorder="1" applyAlignment="1" applyProtection="1">
      <alignment horizontal="center" vertical="center"/>
      <protection locked="0"/>
    </xf>
    <xf numFmtId="0" fontId="2" fillId="50" borderId="76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50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50" borderId="10" xfId="0" applyNumberFormat="1" applyFont="1" applyFill="1" applyBorder="1" applyAlignment="1" applyProtection="1">
      <alignment horizontal="left" wrapText="1" readingOrder="1"/>
      <protection locked="0"/>
    </xf>
    <xf numFmtId="0" fontId="2" fillId="50" borderId="10" xfId="0" applyNumberFormat="1" applyFont="1" applyFill="1" applyBorder="1" applyAlignment="1" applyProtection="1">
      <alignment wrapText="1" readingOrder="1"/>
      <protection locked="0"/>
    </xf>
    <xf numFmtId="0" fontId="2" fillId="50" borderId="10" xfId="0" applyNumberFormat="1" applyFont="1" applyFill="1" applyBorder="1" applyAlignment="1" applyProtection="1">
      <alignment vertical="center" wrapText="1"/>
      <protection locked="0"/>
    </xf>
    <xf numFmtId="0" fontId="2" fillId="50" borderId="10" xfId="0" applyNumberFormat="1" applyFont="1" applyFill="1" applyBorder="1" applyAlignment="1" applyProtection="1">
      <alignment vertical="center" wrapText="1"/>
      <protection locked="0"/>
    </xf>
    <xf numFmtId="0" fontId="7" fillId="50" borderId="34" xfId="0" applyNumberFormat="1" applyFont="1" applyFill="1" applyBorder="1" applyAlignment="1" applyProtection="1">
      <alignment vertical="center" wrapText="1"/>
      <protection locked="0"/>
    </xf>
    <xf numFmtId="0" fontId="4" fillId="0" borderId="13" xfId="0" applyNumberFormat="1" applyFont="1" applyFill="1" applyBorder="1" applyAlignment="1" applyProtection="1">
      <alignment horizontal="left" wrapText="1" readingOrder="1"/>
      <protection locked="0"/>
    </xf>
    <xf numFmtId="0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68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NumberFormat="1" applyFont="1" applyFill="1" applyBorder="1" applyAlignment="1" applyProtection="1">
      <alignment horizontal="center" vertical="center"/>
      <protection locked="0"/>
    </xf>
    <xf numFmtId="175" fontId="10" fillId="0" borderId="50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>
      <alignment/>
    </xf>
    <xf numFmtId="0" fontId="0" fillId="0" borderId="14" xfId="0" applyBorder="1" applyAlignment="1">
      <alignment/>
    </xf>
    <xf numFmtId="49" fontId="30" fillId="50" borderId="11" xfId="0" applyNumberFormat="1" applyFont="1" applyFill="1" applyBorder="1" applyAlignment="1">
      <alignment horizontal="center" vertical="top" wrapText="1"/>
    </xf>
    <xf numFmtId="49" fontId="31" fillId="50" borderId="11" xfId="0" applyNumberFormat="1" applyFont="1" applyFill="1" applyBorder="1" applyAlignment="1">
      <alignment horizontal="center" vertical="top" wrapText="1"/>
    </xf>
    <xf numFmtId="0" fontId="148" fillId="0" borderId="35" xfId="0" applyFont="1" applyBorder="1" applyAlignment="1" applyProtection="1">
      <alignment horizontal="center" vertical="center" wrapText="1"/>
      <protection locked="0"/>
    </xf>
    <xf numFmtId="0" fontId="148" fillId="0" borderId="58" xfId="0" applyFont="1" applyBorder="1" applyAlignment="1" applyProtection="1">
      <alignment horizontal="center" vertical="center" wrapText="1"/>
      <protection locked="0"/>
    </xf>
    <xf numFmtId="49" fontId="61" fillId="38" borderId="20" xfId="0" applyNumberFormat="1" applyFont="1" applyFill="1" applyBorder="1" applyAlignment="1">
      <alignment horizontal="center" vertical="center" wrapText="1"/>
    </xf>
    <xf numFmtId="1" fontId="61" fillId="0" borderId="1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48" fillId="0" borderId="11" xfId="0" applyFont="1" applyBorder="1" applyAlignment="1" applyProtection="1">
      <alignment horizontal="center" vertical="center" wrapText="1"/>
      <protection locked="0"/>
    </xf>
    <xf numFmtId="175" fontId="13" fillId="0" borderId="11" xfId="0" applyNumberFormat="1" applyFont="1" applyFill="1" applyBorder="1" applyAlignment="1">
      <alignment horizontal="center" vertical="center"/>
    </xf>
    <xf numFmtId="175" fontId="13" fillId="35" borderId="11" xfId="0" applyNumberFormat="1" applyFont="1" applyFill="1" applyBorder="1" applyAlignment="1">
      <alignment horizontal="center" vertical="center"/>
    </xf>
    <xf numFmtId="49" fontId="62" fillId="38" borderId="11" xfId="0" applyNumberFormat="1" applyFont="1" applyFill="1" applyBorder="1" applyAlignment="1">
      <alignment horizontal="center" vertical="top" wrapText="1"/>
    </xf>
    <xf numFmtId="175" fontId="12" fillId="0" borderId="11" xfId="0" applyNumberFormat="1" applyFont="1" applyBorder="1" applyAlignment="1">
      <alignment horizontal="center" vertical="center"/>
    </xf>
    <xf numFmtId="175" fontId="0" fillId="0" borderId="11" xfId="0" applyNumberFormat="1" applyFont="1" applyBorder="1" applyAlignment="1">
      <alignment horizontal="center" vertical="center"/>
    </xf>
    <xf numFmtId="49" fontId="61" fillId="38" borderId="11" xfId="0" applyNumberFormat="1" applyFont="1" applyFill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48" fillId="0" borderId="14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/>
    </xf>
    <xf numFmtId="49" fontId="30" fillId="50" borderId="41" xfId="0" applyNumberFormat="1" applyFont="1" applyFill="1" applyBorder="1" applyAlignment="1">
      <alignment horizontal="center" vertical="top" wrapText="1"/>
    </xf>
    <xf numFmtId="175" fontId="1" fillId="41" borderId="41" xfId="0" applyNumberFormat="1" applyFont="1" applyFill="1" applyBorder="1" applyAlignment="1">
      <alignment horizontal="center" vertical="center"/>
    </xf>
    <xf numFmtId="0" fontId="13" fillId="0" borderId="5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49" fontId="30" fillId="0" borderId="70" xfId="0" applyNumberFormat="1" applyFont="1" applyFill="1" applyBorder="1" applyAlignment="1">
      <alignment horizontal="left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175" fontId="1" fillId="41" borderId="76" xfId="0" applyNumberFormat="1" applyFont="1" applyFill="1" applyBorder="1" applyAlignment="1">
      <alignment horizontal="center" vertical="center"/>
    </xf>
    <xf numFmtId="175" fontId="13" fillId="0" borderId="17" xfId="0" applyNumberFormat="1" applyFont="1" applyFill="1" applyBorder="1" applyAlignment="1">
      <alignment horizontal="center" vertical="center"/>
    </xf>
    <xf numFmtId="175" fontId="0" fillId="0" borderId="17" xfId="0" applyNumberFormat="1" applyFont="1" applyBorder="1" applyAlignment="1">
      <alignment horizontal="center" vertical="center"/>
    </xf>
    <xf numFmtId="175" fontId="13" fillId="35" borderId="17" xfId="0" applyNumberFormat="1" applyFont="1" applyFill="1" applyBorder="1" applyAlignment="1">
      <alignment horizontal="center" vertical="center"/>
    </xf>
    <xf numFmtId="175" fontId="12" fillId="0" borderId="17" xfId="0" applyNumberFormat="1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175" fontId="13" fillId="0" borderId="55" xfId="0" applyNumberFormat="1" applyFont="1" applyFill="1" applyBorder="1" applyAlignment="1">
      <alignment horizontal="center" vertical="center"/>
    </xf>
    <xf numFmtId="175" fontId="1" fillId="0" borderId="70" xfId="0" applyNumberFormat="1" applyFont="1" applyBorder="1" applyAlignment="1">
      <alignment horizontal="center" vertical="center"/>
    </xf>
    <xf numFmtId="175" fontId="13" fillId="0" borderId="20" xfId="0" applyNumberFormat="1" applyFont="1" applyFill="1" applyBorder="1" applyAlignment="1">
      <alignment horizontal="center" vertical="center"/>
    </xf>
    <xf numFmtId="175" fontId="12" fillId="0" borderId="21" xfId="0" applyNumberFormat="1" applyFont="1" applyBorder="1" applyAlignment="1">
      <alignment vertical="center"/>
    </xf>
    <xf numFmtId="0" fontId="1" fillId="0" borderId="5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49" fontId="14" fillId="38" borderId="23" xfId="0" applyNumberFormat="1" applyFont="1" applyFill="1" applyBorder="1" applyAlignment="1">
      <alignment horizontal="center" vertical="justify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49" fontId="12" fillId="38" borderId="11" xfId="0" applyNumberFormat="1" applyFont="1" applyFill="1" applyBorder="1" applyAlignment="1">
      <alignment horizontal="center" vertical="center" wrapText="1"/>
    </xf>
    <xf numFmtId="49" fontId="13" fillId="35" borderId="11" xfId="0" applyNumberFormat="1" applyFont="1" applyFill="1" applyBorder="1" applyAlignment="1">
      <alignment horizontal="center" vertical="center" wrapText="1"/>
    </xf>
    <xf numFmtId="49" fontId="12" fillId="38" borderId="12" xfId="0" applyNumberFormat="1" applyFont="1" applyFill="1" applyBorder="1" applyAlignment="1">
      <alignment horizontal="center" vertical="center" wrapText="1"/>
    </xf>
    <xf numFmtId="175" fontId="1" fillId="0" borderId="23" xfId="0" applyNumberFormat="1" applyFont="1" applyBorder="1" applyAlignment="1">
      <alignment horizontal="center"/>
    </xf>
    <xf numFmtId="0" fontId="2" fillId="50" borderId="24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50" borderId="25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5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50" borderId="33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50" borderId="41" xfId="0" applyNumberFormat="1" applyFont="1" applyFill="1" applyBorder="1" applyAlignment="1" applyProtection="1">
      <alignment horizontal="center" vertical="center" wrapText="1"/>
      <protection locked="0"/>
    </xf>
    <xf numFmtId="0" fontId="9" fillId="50" borderId="30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31" xfId="0" applyNumberFormat="1" applyFont="1" applyFill="1" applyBorder="1" applyAlignment="1" applyProtection="1">
      <alignment horizontal="center" vertical="center"/>
      <protection locked="0"/>
    </xf>
    <xf numFmtId="0" fontId="2" fillId="50" borderId="31" xfId="0" applyNumberFormat="1" applyFont="1" applyFill="1" applyBorder="1" applyAlignment="1" applyProtection="1">
      <alignment horizontal="center" vertical="center"/>
      <protection locked="0"/>
    </xf>
    <xf numFmtId="0" fontId="2" fillId="50" borderId="55" xfId="0" applyNumberFormat="1" applyFont="1" applyFill="1" applyBorder="1" applyAlignment="1" applyProtection="1">
      <alignment horizontal="center" vertical="center"/>
      <protection locked="0"/>
    </xf>
    <xf numFmtId="0" fontId="2" fillId="50" borderId="25" xfId="0" applyNumberFormat="1" applyFont="1" applyFill="1" applyBorder="1" applyAlignment="1" applyProtection="1">
      <alignment horizontal="left" vertical="center" wrapText="1"/>
      <protection locked="0"/>
    </xf>
    <xf numFmtId="0" fontId="10" fillId="50" borderId="13" xfId="0" applyNumberFormat="1" applyFont="1" applyFill="1" applyBorder="1" applyAlignment="1" applyProtection="1">
      <alignment horizontal="left" vertical="center" wrapText="1"/>
      <protection locked="0"/>
    </xf>
    <xf numFmtId="0" fontId="27" fillId="50" borderId="23" xfId="0" applyNumberFormat="1" applyFont="1" applyFill="1" applyBorder="1" applyAlignment="1" applyProtection="1">
      <alignment horizontal="center" vertical="center" wrapText="1"/>
      <protection locked="0"/>
    </xf>
    <xf numFmtId="0" fontId="36" fillId="50" borderId="27" xfId="0" applyNumberFormat="1" applyFont="1" applyFill="1" applyBorder="1" applyAlignment="1" applyProtection="1">
      <alignment horizontal="center" vertical="center" wrapText="1"/>
      <protection locked="0"/>
    </xf>
    <xf numFmtId="0" fontId="27" fillId="50" borderId="16" xfId="0" applyNumberFormat="1" applyFont="1" applyFill="1" applyBorder="1" applyAlignment="1" applyProtection="1">
      <alignment horizontal="center" vertical="center"/>
      <protection locked="0"/>
    </xf>
    <xf numFmtId="175" fontId="10" fillId="50" borderId="16" xfId="0" applyNumberFormat="1" applyFont="1" applyFill="1" applyBorder="1" applyAlignment="1" applyProtection="1">
      <alignment horizontal="center" vertical="center"/>
      <protection locked="0"/>
    </xf>
    <xf numFmtId="175" fontId="10" fillId="50" borderId="22" xfId="0" applyNumberFormat="1" applyFont="1" applyFill="1" applyBorder="1" applyAlignment="1" applyProtection="1">
      <alignment horizontal="center" vertical="center"/>
      <protection locked="0"/>
    </xf>
    <xf numFmtId="0" fontId="2" fillId="50" borderId="24" xfId="0" applyNumberFormat="1" applyFont="1" applyFill="1" applyBorder="1" applyAlignment="1" applyProtection="1">
      <alignment horizontal="left" vertical="center" wrapText="1"/>
      <protection locked="0"/>
    </xf>
    <xf numFmtId="0" fontId="10" fillId="50" borderId="16" xfId="0" applyNumberFormat="1" applyFont="1" applyFill="1" applyBorder="1" applyAlignment="1" applyProtection="1">
      <alignment horizontal="center" vertical="center"/>
      <protection locked="0"/>
    </xf>
    <xf numFmtId="0" fontId="10" fillId="50" borderId="22" xfId="0" applyNumberFormat="1" applyFont="1" applyFill="1" applyBorder="1" applyAlignment="1" applyProtection="1">
      <alignment horizontal="center" vertical="center"/>
      <protection locked="0"/>
    </xf>
    <xf numFmtId="49" fontId="27" fillId="50" borderId="25" xfId="0" applyNumberFormat="1" applyFont="1" applyFill="1" applyBorder="1" applyAlignment="1" applyProtection="1">
      <alignment horizontal="center" vertical="center" wrapText="1"/>
      <protection locked="0"/>
    </xf>
    <xf numFmtId="49" fontId="27" fillId="50" borderId="10" xfId="0" applyNumberFormat="1" applyFont="1" applyFill="1" applyBorder="1" applyAlignment="1" applyProtection="1">
      <alignment horizontal="left" vertical="center" wrapText="1" readingOrder="1"/>
      <protection locked="0"/>
    </xf>
    <xf numFmtId="49" fontId="27" fillId="50" borderId="17" xfId="0" applyNumberFormat="1" applyFont="1" applyFill="1" applyBorder="1" applyAlignment="1" applyProtection="1">
      <alignment horizontal="center" vertical="center" wrapText="1"/>
      <protection locked="0"/>
    </xf>
    <xf numFmtId="49" fontId="27" fillId="50" borderId="20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0" xfId="0" applyNumberFormat="1" applyFont="1" applyFill="1" applyBorder="1" applyAlignment="1" applyProtection="1">
      <alignment horizontal="left" vertical="center" wrapText="1" readingOrder="1"/>
      <protection locked="0"/>
    </xf>
    <xf numFmtId="49" fontId="7" fillId="4" borderId="20" xfId="0" applyNumberFormat="1" applyFont="1" applyFill="1" applyBorder="1" applyAlignment="1" applyProtection="1">
      <alignment horizontal="center" vertical="center" wrapText="1"/>
      <protection locked="0"/>
    </xf>
    <xf numFmtId="49" fontId="7" fillId="50" borderId="10" xfId="0" applyNumberFormat="1" applyFont="1" applyFill="1" applyBorder="1" applyAlignment="1" applyProtection="1">
      <alignment horizontal="left" vertical="center" wrapText="1" readingOrder="1"/>
      <protection locked="0"/>
    </xf>
    <xf numFmtId="49" fontId="7" fillId="50" borderId="20" xfId="0" applyNumberFormat="1" applyFont="1" applyFill="1" applyBorder="1" applyAlignment="1" applyProtection="1">
      <alignment horizontal="center" vertical="center" wrapText="1"/>
      <protection locked="0"/>
    </xf>
    <xf numFmtId="0" fontId="27" fillId="50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4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50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27" fillId="50" borderId="10" xfId="0" applyNumberFormat="1" applyFont="1" applyFill="1" applyBorder="1" applyAlignment="1" applyProtection="1">
      <alignment wrapText="1" readingOrder="1"/>
      <protection locked="0"/>
    </xf>
    <xf numFmtId="49" fontId="9" fillId="50" borderId="25" xfId="0" applyNumberFormat="1" applyFont="1" applyFill="1" applyBorder="1" applyAlignment="1" applyProtection="1">
      <alignment horizontal="center" vertical="center" wrapText="1"/>
      <protection locked="0"/>
    </xf>
    <xf numFmtId="0" fontId="27" fillId="50" borderId="10" xfId="0" applyNumberFormat="1" applyFont="1" applyFill="1" applyBorder="1" applyAlignment="1" applyProtection="1">
      <alignment vertical="center" wrapText="1"/>
      <protection locked="0"/>
    </xf>
    <xf numFmtId="0" fontId="7" fillId="50" borderId="20" xfId="0" applyNumberFormat="1" applyFont="1" applyFill="1" applyBorder="1" applyAlignment="1" applyProtection="1">
      <alignment horizontal="center" vertical="center"/>
      <protection locked="0"/>
    </xf>
    <xf numFmtId="0" fontId="7" fillId="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4" borderId="11" xfId="0" applyNumberFormat="1" applyFont="1" applyFill="1" applyBorder="1" applyAlignment="1" applyProtection="1">
      <alignment horizontal="center" vertical="center"/>
      <protection locked="0"/>
    </xf>
    <xf numFmtId="0" fontId="7" fillId="4" borderId="20" xfId="0" applyNumberFormat="1" applyFont="1" applyFill="1" applyBorder="1" applyAlignment="1" applyProtection="1">
      <alignment horizontal="center" vertical="center"/>
      <protection locked="0"/>
    </xf>
    <xf numFmtId="0" fontId="7" fillId="50" borderId="20" xfId="0" applyNumberFormat="1" applyFont="1" applyFill="1" applyBorder="1" applyAlignment="1" applyProtection="1">
      <alignment/>
      <protection locked="0"/>
    </xf>
    <xf numFmtId="0" fontId="27" fillId="50" borderId="10" xfId="0" applyNumberFormat="1" applyFont="1" applyFill="1" applyBorder="1" applyAlignment="1" applyProtection="1">
      <alignment vertical="center" wrapText="1" readingOrder="1"/>
      <protection locked="0"/>
    </xf>
    <xf numFmtId="0" fontId="36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50" borderId="10" xfId="0" applyNumberFormat="1" applyFont="1" applyFill="1" applyBorder="1" applyAlignment="1" applyProtection="1">
      <alignment horizontal="left" vertical="center" wrapText="1"/>
      <protection locked="0"/>
    </xf>
    <xf numFmtId="49" fontId="27" fillId="50" borderId="25" xfId="0" applyNumberFormat="1" applyFont="1" applyFill="1" applyBorder="1" applyAlignment="1" applyProtection="1">
      <alignment horizontal="center" vertical="center"/>
      <protection locked="0"/>
    </xf>
    <xf numFmtId="0" fontId="27" fillId="50" borderId="10" xfId="0" applyNumberFormat="1" applyFont="1" applyFill="1" applyBorder="1" applyAlignment="1" applyProtection="1">
      <alignment horizontal="left" wrapText="1" readingOrder="1"/>
      <protection locked="0"/>
    </xf>
    <xf numFmtId="49" fontId="7" fillId="50" borderId="25" xfId="0" applyNumberFormat="1" applyFont="1" applyFill="1" applyBorder="1" applyAlignment="1" applyProtection="1">
      <alignment horizontal="center" vertical="center"/>
      <protection locked="0"/>
    </xf>
    <xf numFmtId="49" fontId="27" fillId="50" borderId="10" xfId="0" applyNumberFormat="1" applyFont="1" applyFill="1" applyBorder="1" applyAlignment="1" applyProtection="1">
      <alignment vertical="center" wrapText="1" readingOrder="1"/>
      <protection locked="0"/>
    </xf>
    <xf numFmtId="49" fontId="9" fillId="50" borderId="25" xfId="0" applyNumberFormat="1" applyFont="1" applyFill="1" applyBorder="1" applyAlignment="1" applyProtection="1">
      <alignment horizontal="center" vertical="center"/>
      <protection locked="0"/>
    </xf>
    <xf numFmtId="0" fontId="27" fillId="50" borderId="17" xfId="0" applyNumberFormat="1" applyFont="1" applyFill="1" applyBorder="1" applyAlignment="1" applyProtection="1">
      <alignment horizontal="center" vertical="center" wrapText="1"/>
      <protection locked="0"/>
    </xf>
    <xf numFmtId="49" fontId="7" fillId="50" borderId="18" xfId="0" applyNumberFormat="1" applyFont="1" applyFill="1" applyBorder="1" applyAlignment="1">
      <alignment horizontal="center" vertical="center" wrapText="1"/>
    </xf>
    <xf numFmtId="49" fontId="7" fillId="50" borderId="18" xfId="0" applyNumberFormat="1" applyFont="1" applyFill="1" applyBorder="1" applyAlignment="1">
      <alignment horizontal="center" vertical="center"/>
    </xf>
    <xf numFmtId="49" fontId="7" fillId="50" borderId="45" xfId="0" applyNumberFormat="1" applyFont="1" applyFill="1" applyBorder="1" applyAlignment="1" applyProtection="1">
      <alignment horizontal="center" vertical="center"/>
      <protection locked="0"/>
    </xf>
    <xf numFmtId="0" fontId="7" fillId="50" borderId="59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50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50" borderId="13" xfId="0" applyNumberFormat="1" applyFont="1" applyFill="1" applyBorder="1" applyAlignment="1" applyProtection="1">
      <alignment horizontal="center" vertical="center"/>
      <protection locked="0"/>
    </xf>
    <xf numFmtId="0" fontId="1" fillId="50" borderId="22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50" borderId="51" xfId="0" applyNumberFormat="1" applyFont="1" applyFill="1" applyBorder="1" applyAlignment="1" applyProtection="1">
      <alignment horizontal="center" vertical="center" wrapText="1"/>
      <protection locked="0"/>
    </xf>
    <xf numFmtId="0" fontId="28" fillId="50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22" xfId="0" applyFont="1" applyFill="1" applyBorder="1" applyAlignment="1">
      <alignment horizontal="center" vertical="center" wrapText="1"/>
    </xf>
    <xf numFmtId="0" fontId="7" fillId="50" borderId="22" xfId="0" applyFont="1" applyFill="1" applyBorder="1" applyAlignment="1">
      <alignment horizontal="center"/>
    </xf>
    <xf numFmtId="175" fontId="7" fillId="50" borderId="59" xfId="0" applyNumberFormat="1" applyFont="1" applyFill="1" applyBorder="1" applyAlignment="1" applyProtection="1">
      <alignment horizontal="center" vertical="center"/>
      <protection locked="0"/>
    </xf>
    <xf numFmtId="175" fontId="0" fillId="0" borderId="71" xfId="0" applyNumberFormat="1" applyBorder="1" applyAlignment="1">
      <alignment horizontal="center" vertical="center"/>
    </xf>
    <xf numFmtId="175" fontId="0" fillId="0" borderId="84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7" fillId="0" borderId="22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50" xfId="0" applyBorder="1" applyAlignment="1">
      <alignment/>
    </xf>
    <xf numFmtId="175" fontId="1" fillId="0" borderId="83" xfId="0" applyNumberFormat="1" applyFont="1" applyBorder="1" applyAlignment="1">
      <alignment horizontal="center" vertical="center"/>
    </xf>
    <xf numFmtId="175" fontId="1" fillId="0" borderId="71" xfId="0" applyNumberFormat="1" applyFont="1" applyBorder="1" applyAlignment="1">
      <alignment horizontal="center" vertical="center"/>
    </xf>
    <xf numFmtId="175" fontId="1" fillId="0" borderId="5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0" fillId="50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31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69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78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49" fontId="13" fillId="0" borderId="43" xfId="0" applyNumberFormat="1" applyFont="1" applyBorder="1" applyAlignment="1">
      <alignment horizontal="right"/>
    </xf>
    <xf numFmtId="49" fontId="15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62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13" fillId="0" borderId="3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73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49" fontId="14" fillId="0" borderId="44" xfId="0" applyNumberFormat="1" applyFont="1" applyBorder="1" applyAlignment="1">
      <alignment horizontal="center" vertical="center" wrapText="1"/>
    </xf>
    <xf numFmtId="49" fontId="14" fillId="0" borderId="26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4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0" xfId="0" applyNumberFormat="1" applyFont="1" applyAlignment="1" applyProtection="1">
      <alignment horizontal="right"/>
      <protection locked="0"/>
    </xf>
    <xf numFmtId="0" fontId="0" fillId="0" borderId="0" xfId="0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right"/>
    </xf>
    <xf numFmtId="0" fontId="0" fillId="0" borderId="39" xfId="0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right"/>
    </xf>
    <xf numFmtId="0" fontId="60" fillId="0" borderId="0" xfId="0" applyFont="1" applyAlignment="1">
      <alignment horizontal="right"/>
    </xf>
    <xf numFmtId="49" fontId="18" fillId="0" borderId="0" xfId="0" applyNumberFormat="1" applyFont="1" applyAlignment="1">
      <alignment horizontal="left"/>
    </xf>
    <xf numFmtId="0" fontId="1" fillId="0" borderId="44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50" fillId="0" borderId="62" xfId="0" applyFont="1" applyBorder="1" applyAlignment="1">
      <alignment horizontal="center" vertical="center" wrapText="1"/>
    </xf>
    <xf numFmtId="0" fontId="50" fillId="0" borderId="66" xfId="0" applyFont="1" applyBorder="1" applyAlignment="1">
      <alignment horizontal="center" vertical="center" wrapText="1"/>
    </xf>
    <xf numFmtId="0" fontId="50" fillId="0" borderId="64" xfId="0" applyFont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center" wrapText="1"/>
    </xf>
    <xf numFmtId="0" fontId="50" fillId="0" borderId="63" xfId="0" applyFont="1" applyBorder="1" applyAlignment="1">
      <alignment horizontal="center" vertical="center" wrapText="1"/>
    </xf>
    <xf numFmtId="0" fontId="50" fillId="0" borderId="58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 wrapText="1"/>
    </xf>
    <xf numFmtId="0" fontId="30" fillId="0" borderId="87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30" fillId="0" borderId="81" xfId="0" applyFont="1" applyBorder="1" applyAlignment="1">
      <alignment horizontal="center" vertical="center" wrapText="1"/>
    </xf>
    <xf numFmtId="0" fontId="30" fillId="0" borderId="65" xfId="0" applyFont="1" applyBorder="1" applyAlignment="1">
      <alignment horizontal="center" vertical="center" wrapText="1"/>
    </xf>
    <xf numFmtId="0" fontId="40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8" fillId="0" borderId="62" xfId="0" applyFont="1" applyBorder="1" applyAlignment="1" applyProtection="1">
      <alignment horizontal="center" vertical="center" wrapText="1"/>
      <protection locked="0"/>
    </xf>
    <xf numFmtId="0" fontId="148" fillId="0" borderId="63" xfId="0" applyFont="1" applyBorder="1" applyAlignment="1" applyProtection="1">
      <alignment horizontal="center" vertical="center" wrapText="1"/>
      <protection locked="0"/>
    </xf>
    <xf numFmtId="0" fontId="4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  <xf numFmtId="173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73" fontId="0" fillId="0" borderId="18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39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6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 horizontal="right"/>
    </xf>
    <xf numFmtId="0" fontId="4" fillId="0" borderId="63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/>
    </xf>
    <xf numFmtId="0" fontId="0" fillId="0" borderId="0" xfId="0" applyNumberFormat="1" applyAlignment="1">
      <alignment horizontal="right"/>
    </xf>
    <xf numFmtId="0" fontId="14" fillId="0" borderId="79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14" fontId="0" fillId="0" borderId="0" xfId="0" applyNumberFormat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top" wrapText="1"/>
    </xf>
    <xf numFmtId="0" fontId="32" fillId="0" borderId="11" xfId="0" applyFont="1" applyBorder="1" applyAlignment="1">
      <alignment horizontal="center" vertical="top" wrapText="1"/>
    </xf>
    <xf numFmtId="0" fontId="32" fillId="0" borderId="14" xfId="0" applyNumberFormat="1" applyFont="1" applyBorder="1" applyAlignment="1" applyProtection="1">
      <alignment horizontal="center" vertical="top" wrapText="1"/>
      <protection locked="0"/>
    </xf>
    <xf numFmtId="0" fontId="18" fillId="0" borderId="11" xfId="0" applyFont="1" applyBorder="1" applyAlignment="1">
      <alignment horizontal="left" vertical="top" wrapText="1"/>
    </xf>
    <xf numFmtId="0" fontId="32" fillId="0" borderId="12" xfId="0" applyFont="1" applyBorder="1" applyAlignment="1">
      <alignment horizontal="center" vertical="top" wrapText="1"/>
    </xf>
    <xf numFmtId="0" fontId="32" fillId="0" borderId="42" xfId="0" applyFont="1" applyBorder="1" applyAlignment="1">
      <alignment horizontal="center" vertical="top" wrapText="1"/>
    </xf>
    <xf numFmtId="0" fontId="32" fillId="0" borderId="41" xfId="0" applyFont="1" applyBorder="1" applyAlignment="1">
      <alignment horizontal="center" vertical="top" wrapText="1"/>
    </xf>
    <xf numFmtId="0" fontId="32" fillId="0" borderId="0" xfId="0" applyFont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62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35" xfId="0" applyFont="1" applyBorder="1" applyAlignment="1">
      <alignment vertical="top" wrapText="1"/>
    </xf>
    <xf numFmtId="0" fontId="12" fillId="0" borderId="6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58" xfId="0" applyFont="1" applyBorder="1" applyAlignment="1">
      <alignment vertical="top" wrapText="1"/>
    </xf>
    <xf numFmtId="0" fontId="12" fillId="0" borderId="64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2" fillId="0" borderId="36" xfId="0" applyFont="1" applyBorder="1" applyAlignment="1">
      <alignment horizontal="center" vertical="top" wrapText="1"/>
    </xf>
    <xf numFmtId="0" fontId="12" fillId="0" borderId="63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58" xfId="0" applyFont="1" applyBorder="1" applyAlignment="1">
      <alignment horizontal="center" vertical="top" wrapText="1"/>
    </xf>
    <xf numFmtId="0" fontId="12" fillId="0" borderId="66" xfId="0" applyFont="1" applyBorder="1" applyAlignment="1">
      <alignment horizontal="center" vertical="top" wrapText="1"/>
    </xf>
    <xf numFmtId="0" fontId="12" fillId="0" borderId="79" xfId="0" applyFont="1" applyBorder="1" applyAlignment="1">
      <alignment horizontal="center" vertical="top" wrapText="1"/>
    </xf>
    <xf numFmtId="0" fontId="12" fillId="0" borderId="68" xfId="0" applyFont="1" applyBorder="1" applyAlignment="1">
      <alignment horizontal="center" vertical="top" wrapText="1"/>
    </xf>
    <xf numFmtId="0" fontId="32" fillId="0" borderId="0" xfId="0" applyFont="1" applyAlignment="1">
      <alignment horizontal="right"/>
    </xf>
    <xf numFmtId="0" fontId="32" fillId="0" borderId="14" xfId="0" applyFont="1" applyBorder="1" applyAlignment="1">
      <alignment horizontal="center" vertical="top" wrapText="1"/>
    </xf>
    <xf numFmtId="0" fontId="18" fillId="0" borderId="11" xfId="0" applyFont="1" applyBorder="1" applyAlignment="1">
      <alignment vertical="top" wrapText="1"/>
    </xf>
    <xf numFmtId="0" fontId="13" fillId="50" borderId="32" xfId="0" applyFont="1" applyFill="1" applyBorder="1" applyAlignment="1">
      <alignment horizontal="left" vertical="top" wrapText="1"/>
    </xf>
    <xf numFmtId="0" fontId="13" fillId="50" borderId="41" xfId="0" applyFont="1" applyFill="1" applyBorder="1" applyAlignment="1">
      <alignment horizontal="left" vertical="top" wrapText="1"/>
    </xf>
    <xf numFmtId="0" fontId="13" fillId="50" borderId="70" xfId="0" applyFont="1" applyFill="1" applyBorder="1" applyAlignment="1">
      <alignment horizontal="left" vertical="top" wrapText="1"/>
    </xf>
    <xf numFmtId="0" fontId="32" fillId="50" borderId="14" xfId="0" applyFont="1" applyFill="1" applyBorder="1" applyAlignment="1">
      <alignment horizontal="left"/>
    </xf>
    <xf numFmtId="0" fontId="32" fillId="50" borderId="11" xfId="0" applyFont="1" applyFill="1" applyBorder="1" applyAlignment="1">
      <alignment horizontal="left"/>
    </xf>
    <xf numFmtId="0" fontId="32" fillId="50" borderId="2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 vertical="top" wrapText="1"/>
    </xf>
    <xf numFmtId="0" fontId="32" fillId="50" borderId="35" xfId="0" applyFont="1" applyFill="1" applyBorder="1" applyAlignment="1">
      <alignment horizontal="left" wrapText="1"/>
    </xf>
    <xf numFmtId="0" fontId="32" fillId="50" borderId="58" xfId="0" applyFont="1" applyFill="1" applyBorder="1" applyAlignment="1">
      <alignment horizontal="left" wrapText="1"/>
    </xf>
    <xf numFmtId="0" fontId="32" fillId="50" borderId="73" xfId="0" applyFont="1" applyFill="1" applyBorder="1" applyAlignment="1">
      <alignment horizontal="left" wrapText="1"/>
    </xf>
    <xf numFmtId="0" fontId="14" fillId="50" borderId="14" xfId="0" applyFont="1" applyFill="1" applyBorder="1" applyAlignment="1">
      <alignment horizontal="left" vertical="top" wrapText="1"/>
    </xf>
    <xf numFmtId="0" fontId="14" fillId="50" borderId="11" xfId="0" applyFont="1" applyFill="1" applyBorder="1" applyAlignment="1">
      <alignment horizontal="left" vertical="top" wrapText="1"/>
    </xf>
    <xf numFmtId="0" fontId="14" fillId="50" borderId="20" xfId="0" applyFont="1" applyFill="1" applyBorder="1" applyAlignment="1">
      <alignment horizontal="left" vertical="top" wrapText="1"/>
    </xf>
    <xf numFmtId="0" fontId="14" fillId="50" borderId="32" xfId="0" applyFont="1" applyFill="1" applyBorder="1" applyAlignment="1">
      <alignment horizontal="left" vertical="top" wrapText="1"/>
    </xf>
    <xf numFmtId="0" fontId="14" fillId="50" borderId="41" xfId="0" applyFont="1" applyFill="1" applyBorder="1" applyAlignment="1">
      <alignment horizontal="left" vertical="top" wrapText="1"/>
    </xf>
    <xf numFmtId="0" fontId="14" fillId="50" borderId="70" xfId="0" applyFont="1" applyFill="1" applyBorder="1" applyAlignment="1">
      <alignment horizontal="left" vertical="top" wrapText="1"/>
    </xf>
    <xf numFmtId="0" fontId="32" fillId="50" borderId="25" xfId="0" applyFont="1" applyFill="1" applyBorder="1" applyAlignment="1">
      <alignment horizontal="left" wrapText="1"/>
    </xf>
    <xf numFmtId="0" fontId="32" fillId="50" borderId="78" xfId="0" applyFont="1" applyFill="1" applyBorder="1" applyAlignment="1">
      <alignment horizontal="left" wrapText="1"/>
    </xf>
    <xf numFmtId="0" fontId="32" fillId="50" borderId="71" xfId="0" applyFont="1" applyFill="1" applyBorder="1" applyAlignment="1">
      <alignment horizontal="left" wrapText="1"/>
    </xf>
    <xf numFmtId="0" fontId="13" fillId="50" borderId="14" xfId="0" applyFont="1" applyFill="1" applyBorder="1" applyAlignment="1">
      <alignment horizontal="left" vertical="top" wrapText="1"/>
    </xf>
    <xf numFmtId="0" fontId="13" fillId="50" borderId="11" xfId="0" applyFont="1" applyFill="1" applyBorder="1" applyAlignment="1">
      <alignment horizontal="left" vertical="top" wrapText="1"/>
    </xf>
    <xf numFmtId="0" fontId="13" fillId="50" borderId="20" xfId="0" applyFont="1" applyFill="1" applyBorder="1" applyAlignment="1">
      <alignment horizontal="left" vertical="top" wrapText="1"/>
    </xf>
    <xf numFmtId="0" fontId="12" fillId="50" borderId="14" xfId="0" applyFont="1" applyFill="1" applyBorder="1" applyAlignment="1">
      <alignment horizontal="left" vertical="top" wrapText="1"/>
    </xf>
    <xf numFmtId="0" fontId="12" fillId="50" borderId="11" xfId="0" applyFont="1" applyFill="1" applyBorder="1" applyAlignment="1">
      <alignment horizontal="left" vertical="top" wrapText="1"/>
    </xf>
    <xf numFmtId="0" fontId="12" fillId="50" borderId="20" xfId="0" applyFont="1" applyFill="1" applyBorder="1" applyAlignment="1">
      <alignment horizontal="left" vertical="top" wrapText="1"/>
    </xf>
    <xf numFmtId="0" fontId="18" fillId="0" borderId="0" xfId="0" applyFont="1" applyAlignment="1">
      <alignment horizontal="right"/>
    </xf>
    <xf numFmtId="49" fontId="15" fillId="0" borderId="0" xfId="0" applyNumberFormat="1" applyFont="1" applyAlignment="1">
      <alignment horizontal="center"/>
    </xf>
    <xf numFmtId="49" fontId="16" fillId="0" borderId="66" xfId="0" applyNumberFormat="1" applyFont="1" applyBorder="1" applyAlignment="1">
      <alignment horizontal="center" vertical="center" wrapText="1"/>
    </xf>
    <xf numFmtId="49" fontId="16" fillId="0" borderId="75" xfId="0" applyNumberFormat="1" applyFont="1" applyBorder="1" applyAlignment="1">
      <alignment horizontal="center" vertical="center" wrapText="1"/>
    </xf>
    <xf numFmtId="49" fontId="14" fillId="50" borderId="62" xfId="0" applyNumberFormat="1" applyFont="1" applyFill="1" applyBorder="1" applyAlignment="1">
      <alignment horizontal="center" vertical="center"/>
    </xf>
    <xf numFmtId="49" fontId="14" fillId="50" borderId="63" xfId="0" applyNumberFormat="1" applyFont="1" applyFill="1" applyBorder="1" applyAlignment="1">
      <alignment horizontal="center" vertical="center"/>
    </xf>
    <xf numFmtId="49" fontId="14" fillId="50" borderId="35" xfId="0" applyNumberFormat="1" applyFont="1" applyFill="1" applyBorder="1" applyAlignment="1">
      <alignment horizontal="center" vertical="center"/>
    </xf>
    <xf numFmtId="49" fontId="14" fillId="50" borderId="58" xfId="0" applyNumberFormat="1" applyFont="1" applyFill="1" applyBorder="1" applyAlignment="1">
      <alignment horizontal="center" vertical="center"/>
    </xf>
    <xf numFmtId="0" fontId="14" fillId="50" borderId="19" xfId="0" applyFont="1" applyFill="1" applyBorder="1" applyAlignment="1">
      <alignment horizontal="left" vertical="top" wrapText="1"/>
    </xf>
    <xf numFmtId="0" fontId="14" fillId="50" borderId="23" xfId="0" applyFont="1" applyFill="1" applyBorder="1" applyAlignment="1">
      <alignment horizontal="left" vertical="top" wrapText="1"/>
    </xf>
    <xf numFmtId="0" fontId="14" fillId="50" borderId="18" xfId="0" applyFont="1" applyFill="1" applyBorder="1" applyAlignment="1">
      <alignment horizontal="left" vertical="top" wrapText="1"/>
    </xf>
    <xf numFmtId="0" fontId="14" fillId="50" borderId="26" xfId="0" applyFont="1" applyFill="1" applyBorder="1" applyAlignment="1">
      <alignment horizontal="left" vertical="top" wrapText="1"/>
    </xf>
    <xf numFmtId="0" fontId="14" fillId="50" borderId="43" xfId="0" applyFont="1" applyFill="1" applyBorder="1" applyAlignment="1">
      <alignment horizontal="left" vertical="top" wrapText="1"/>
    </xf>
    <xf numFmtId="0" fontId="12" fillId="50" borderId="14" xfId="0" applyFont="1" applyFill="1" applyBorder="1" applyAlignment="1">
      <alignment vertical="top" wrapText="1"/>
    </xf>
    <xf numFmtId="0" fontId="12" fillId="50" borderId="11" xfId="0" applyFont="1" applyFill="1" applyBorder="1" applyAlignment="1">
      <alignment vertical="top" wrapText="1"/>
    </xf>
    <xf numFmtId="0" fontId="12" fillId="50" borderId="20" xfId="0" applyFont="1" applyFill="1" applyBorder="1" applyAlignment="1">
      <alignment vertical="top" wrapText="1"/>
    </xf>
    <xf numFmtId="0" fontId="12" fillId="50" borderId="15" xfId="0" applyFont="1" applyFill="1" applyBorder="1" applyAlignment="1">
      <alignment vertical="top" wrapText="1"/>
    </xf>
    <xf numFmtId="0" fontId="12" fillId="50" borderId="12" xfId="0" applyFont="1" applyFill="1" applyBorder="1" applyAlignment="1">
      <alignment vertical="top" wrapText="1"/>
    </xf>
    <xf numFmtId="0" fontId="12" fillId="50" borderId="21" xfId="0" applyFont="1" applyFill="1" applyBorder="1" applyAlignment="1">
      <alignment vertical="top" wrapText="1"/>
    </xf>
    <xf numFmtId="49" fontId="14" fillId="50" borderId="13" xfId="0" applyNumberFormat="1" applyFont="1" applyFill="1" applyBorder="1" applyAlignment="1">
      <alignment horizontal="left"/>
    </xf>
    <xf numFmtId="49" fontId="14" fillId="50" borderId="16" xfId="0" applyNumberFormat="1" applyFont="1" applyFill="1" applyBorder="1" applyAlignment="1">
      <alignment horizontal="left"/>
    </xf>
    <xf numFmtId="0" fontId="32" fillId="0" borderId="14" xfId="0" applyFont="1" applyBorder="1" applyAlignment="1">
      <alignment horizontal="left"/>
    </xf>
    <xf numFmtId="0" fontId="32" fillId="0" borderId="11" xfId="0" applyFont="1" applyBorder="1" applyAlignment="1">
      <alignment horizontal="left"/>
    </xf>
    <xf numFmtId="0" fontId="32" fillId="0" borderId="20" xfId="0" applyFont="1" applyBorder="1" applyAlignment="1">
      <alignment horizontal="left"/>
    </xf>
    <xf numFmtId="0" fontId="32" fillId="0" borderId="35" xfId="0" applyFont="1" applyBorder="1" applyAlignment="1">
      <alignment horizontal="left" wrapText="1"/>
    </xf>
    <xf numFmtId="0" fontId="32" fillId="0" borderId="58" xfId="0" applyFont="1" applyBorder="1" applyAlignment="1">
      <alignment horizontal="left" wrapText="1"/>
    </xf>
    <xf numFmtId="0" fontId="32" fillId="0" borderId="73" xfId="0" applyFont="1" applyBorder="1" applyAlignment="1">
      <alignment horizontal="left" wrapText="1"/>
    </xf>
    <xf numFmtId="49" fontId="14" fillId="0" borderId="39" xfId="0" applyNumberFormat="1" applyFont="1" applyBorder="1" applyAlignment="1">
      <alignment horizontal="center"/>
    </xf>
    <xf numFmtId="49" fontId="14" fillId="0" borderId="72" xfId="0" applyNumberFormat="1" applyFont="1" applyBorder="1" applyAlignment="1">
      <alignment horizontal="center"/>
    </xf>
    <xf numFmtId="0" fontId="14" fillId="0" borderId="19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0" fontId="14" fillId="0" borderId="32" xfId="0" applyFont="1" applyBorder="1" applyAlignment="1">
      <alignment horizontal="left" vertical="top" wrapText="1"/>
    </xf>
    <xf numFmtId="0" fontId="14" fillId="0" borderId="41" xfId="0" applyFont="1" applyBorder="1" applyAlignment="1">
      <alignment horizontal="left" vertical="top" wrapText="1"/>
    </xf>
    <xf numFmtId="0" fontId="14" fillId="0" borderId="70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20" xfId="0" applyFont="1" applyFill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0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49" fontId="14" fillId="0" borderId="13" xfId="0" applyNumberFormat="1" applyFont="1" applyBorder="1" applyAlignment="1">
      <alignment horizontal="left"/>
    </xf>
    <xf numFmtId="49" fontId="14" fillId="0" borderId="16" xfId="0" applyNumberFormat="1" applyFont="1" applyBorder="1" applyAlignment="1">
      <alignment horizontal="left"/>
    </xf>
    <xf numFmtId="49" fontId="14" fillId="0" borderId="44" xfId="0" applyNumberFormat="1" applyFont="1" applyBorder="1" applyAlignment="1">
      <alignment horizontal="left"/>
    </xf>
    <xf numFmtId="49" fontId="14" fillId="0" borderId="39" xfId="0" applyNumberFormat="1" applyFont="1" applyBorder="1" applyAlignment="1">
      <alignment horizontal="left"/>
    </xf>
    <xf numFmtId="0" fontId="14" fillId="0" borderId="13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3" fillId="0" borderId="32" xfId="0" applyFont="1" applyBorder="1" applyAlignment="1">
      <alignment horizontal="left" vertical="top" wrapText="1"/>
    </xf>
    <xf numFmtId="0" fontId="13" fillId="0" borderId="41" xfId="0" applyFont="1" applyBorder="1" applyAlignment="1">
      <alignment horizontal="left" vertical="top" wrapText="1"/>
    </xf>
    <xf numFmtId="0" fontId="13" fillId="0" borderId="70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51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49" fontId="21" fillId="0" borderId="0" xfId="0" applyNumberFormat="1" applyFont="1" applyAlignment="1" applyProtection="1">
      <alignment horizontal="right"/>
      <protection locked="0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49" fontId="14" fillId="0" borderId="0" xfId="0" applyNumberFormat="1" applyFont="1" applyAlignment="1">
      <alignment horizontal="center"/>
    </xf>
    <xf numFmtId="0" fontId="35" fillId="0" borderId="0" xfId="0" applyFont="1" applyAlignment="1">
      <alignment horizontal="right"/>
    </xf>
    <xf numFmtId="0" fontId="51" fillId="0" borderId="0" xfId="0" applyFont="1" applyAlignment="1">
      <alignment horizontal="right"/>
    </xf>
    <xf numFmtId="0" fontId="16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4">
      <selection activeCell="B9" sqref="B9"/>
    </sheetView>
  </sheetViews>
  <sheetFormatPr defaultColWidth="9.00390625" defaultRowHeight="12.75"/>
  <cols>
    <col min="1" max="1" width="65.875" style="0" customWidth="1"/>
    <col min="4" max="4" width="12.875" style="0" customWidth="1"/>
    <col min="5" max="5" width="11.00390625" style="0" customWidth="1"/>
    <col min="6" max="6" width="9.625" style="0" bestFit="1" customWidth="1"/>
  </cols>
  <sheetData>
    <row r="1" spans="4:7" ht="12.75">
      <c r="D1" s="3099" t="s">
        <v>790</v>
      </c>
      <c r="E1" s="3099"/>
      <c r="F1" s="3099"/>
      <c r="G1" s="3099"/>
    </row>
    <row r="2" spans="1:7" ht="12.75">
      <c r="A2" s="3100" t="s">
        <v>795</v>
      </c>
      <c r="B2" s="3100"/>
      <c r="C2" s="3100"/>
      <c r="D2" s="3100"/>
      <c r="E2" s="3100"/>
      <c r="F2" s="3100"/>
      <c r="G2" s="3100"/>
    </row>
    <row r="3" spans="1:7" ht="12.75">
      <c r="A3" s="28"/>
      <c r="B3" s="28"/>
      <c r="C3" s="28" t="s">
        <v>794</v>
      </c>
      <c r="D3" s="114"/>
      <c r="E3" s="28" t="s">
        <v>793</v>
      </c>
      <c r="F3" s="3113">
        <v>39374</v>
      </c>
      <c r="G3" s="3099"/>
    </row>
    <row r="4" spans="1:7" ht="15.75">
      <c r="A4" s="3101" t="s">
        <v>791</v>
      </c>
      <c r="B4" s="3102"/>
      <c r="C4" s="3102"/>
      <c r="D4" s="3102"/>
      <c r="E4" s="3102"/>
      <c r="F4" s="3102"/>
      <c r="G4" s="3102"/>
    </row>
    <row r="5" spans="1:7" ht="15.75">
      <c r="A5" s="3114" t="s">
        <v>796</v>
      </c>
      <c r="B5" s="3114"/>
      <c r="C5" s="3114"/>
      <c r="D5" s="3114"/>
      <c r="E5" s="3114"/>
      <c r="F5" s="3114"/>
      <c r="G5" s="3114"/>
    </row>
    <row r="6" spans="1:7" ht="15.75">
      <c r="A6" s="3112" t="s">
        <v>792</v>
      </c>
      <c r="B6" s="3112"/>
      <c r="C6" s="3112"/>
      <c r="D6" s="3112"/>
      <c r="E6" s="3112"/>
      <c r="F6" s="3112"/>
      <c r="G6" s="3112"/>
    </row>
    <row r="7" spans="1:7" ht="40.5" customHeight="1">
      <c r="A7" s="3103" t="s">
        <v>593</v>
      </c>
      <c r="B7" s="3106" t="s">
        <v>594</v>
      </c>
      <c r="C7" s="3107"/>
      <c r="D7" s="98" t="s">
        <v>595</v>
      </c>
      <c r="E7" s="98" t="s">
        <v>596</v>
      </c>
      <c r="F7" s="3110" t="s">
        <v>158</v>
      </c>
      <c r="G7" s="3111"/>
    </row>
    <row r="8" spans="1:7" ht="24" customHeight="1">
      <c r="A8" s="3104"/>
      <c r="B8" s="3108">
        <v>2006</v>
      </c>
      <c r="C8" s="3109"/>
      <c r="D8" s="99">
        <v>2007</v>
      </c>
      <c r="E8" s="99">
        <v>2008</v>
      </c>
      <c r="F8" s="100">
        <v>2009</v>
      </c>
      <c r="G8" s="100">
        <v>2010</v>
      </c>
    </row>
    <row r="9" spans="1:7" ht="36">
      <c r="A9" s="3105"/>
      <c r="B9" s="101" t="s">
        <v>160</v>
      </c>
      <c r="C9" s="101" t="s">
        <v>592</v>
      </c>
      <c r="D9" s="101" t="s">
        <v>160</v>
      </c>
      <c r="E9" s="101" t="s">
        <v>159</v>
      </c>
      <c r="F9" s="101" t="s">
        <v>159</v>
      </c>
      <c r="G9" s="101" t="s">
        <v>159</v>
      </c>
    </row>
    <row r="10" spans="1:7" ht="12.75">
      <c r="A10" s="102" t="s">
        <v>786</v>
      </c>
      <c r="B10" s="107">
        <f aca="true" t="shared" si="0" ref="B10:G10">SUM(B12:B14)</f>
        <v>65826</v>
      </c>
      <c r="C10" s="107">
        <f t="shared" si="0"/>
        <v>65963</v>
      </c>
      <c r="D10" s="107">
        <f t="shared" si="0"/>
        <v>68447</v>
      </c>
      <c r="E10" s="107" t="e">
        <f t="shared" si="0"/>
        <v>#REF!</v>
      </c>
      <c r="F10" s="111">
        <f t="shared" si="0"/>
        <v>82403.6</v>
      </c>
      <c r="G10" s="111">
        <f t="shared" si="0"/>
        <v>89697.56000000001</v>
      </c>
    </row>
    <row r="11" spans="1:7" ht="12.75">
      <c r="A11" s="103" t="s">
        <v>787</v>
      </c>
      <c r="B11" s="97"/>
      <c r="C11" s="97"/>
      <c r="D11" s="97"/>
      <c r="E11" s="97"/>
      <c r="F11" s="97"/>
      <c r="G11" s="97"/>
    </row>
    <row r="12" spans="1:7" ht="12.75">
      <c r="A12" s="104" t="s">
        <v>788</v>
      </c>
      <c r="B12" s="97">
        <v>53375</v>
      </c>
      <c r="C12" s="97">
        <v>53512</v>
      </c>
      <c r="D12" s="97">
        <v>48679</v>
      </c>
      <c r="E12" s="97">
        <v>55109</v>
      </c>
      <c r="F12" s="110">
        <f>E12*110%</f>
        <v>60619.9</v>
      </c>
      <c r="G12" s="110">
        <f>F12*110%</f>
        <v>66681.89000000001</v>
      </c>
    </row>
    <row r="13" spans="1:7" ht="12.75">
      <c r="A13" s="104" t="s">
        <v>789</v>
      </c>
      <c r="B13" s="97">
        <v>2807</v>
      </c>
      <c r="C13" s="97">
        <v>2807</v>
      </c>
      <c r="D13" s="97">
        <v>7268</v>
      </c>
      <c r="E13" s="97">
        <v>8527</v>
      </c>
      <c r="F13" s="110">
        <f>E13*110%</f>
        <v>9379.7</v>
      </c>
      <c r="G13" s="110">
        <f>F13*110%</f>
        <v>10317.670000000002</v>
      </c>
    </row>
    <row r="14" spans="1:7" ht="12.75">
      <c r="A14" s="104" t="s">
        <v>560</v>
      </c>
      <c r="B14" s="97">
        <v>9644</v>
      </c>
      <c r="C14" s="97">
        <v>9644</v>
      </c>
      <c r="D14" s="97">
        <v>12500</v>
      </c>
      <c r="E14" s="97" t="e">
        <f>#REF!</f>
        <v>#REF!</v>
      </c>
      <c r="F14" s="97">
        <v>12404</v>
      </c>
      <c r="G14" s="97">
        <v>12698</v>
      </c>
    </row>
    <row r="15" spans="1:7" ht="12.75">
      <c r="A15" s="103" t="s">
        <v>787</v>
      </c>
      <c r="B15" s="97"/>
      <c r="C15" s="97"/>
      <c r="D15" s="97"/>
      <c r="E15" s="97"/>
      <c r="F15" s="97"/>
      <c r="G15" s="97"/>
    </row>
    <row r="16" spans="1:7" ht="15.75" customHeight="1">
      <c r="A16" s="103" t="s">
        <v>561</v>
      </c>
      <c r="B16" s="97"/>
      <c r="C16" s="97"/>
      <c r="D16" s="97">
        <v>0</v>
      </c>
      <c r="E16" s="97"/>
      <c r="F16" s="97"/>
      <c r="G16" s="97"/>
    </row>
    <row r="17" spans="1:7" ht="12.75">
      <c r="A17" s="104" t="s">
        <v>562</v>
      </c>
      <c r="B17" s="97"/>
      <c r="C17" s="97"/>
      <c r="D17" s="97"/>
      <c r="E17" s="97"/>
      <c r="F17" s="97"/>
      <c r="G17" s="97"/>
    </row>
    <row r="18" spans="1:7" ht="14.25" customHeight="1">
      <c r="A18" s="104" t="s">
        <v>563</v>
      </c>
      <c r="B18" s="97"/>
      <c r="C18" s="97"/>
      <c r="D18" s="97">
        <v>0</v>
      </c>
      <c r="E18" s="97"/>
      <c r="F18" s="97"/>
      <c r="G18" s="97"/>
    </row>
    <row r="19" spans="1:7" ht="12.75">
      <c r="A19" s="102" t="s">
        <v>564</v>
      </c>
      <c r="B19" s="107">
        <f aca="true" t="shared" si="1" ref="B19:G19">B20+B25+B26+B27+B28+B29+B30+B31</f>
        <v>66426</v>
      </c>
      <c r="C19" s="107">
        <f t="shared" si="1"/>
        <v>66163</v>
      </c>
      <c r="D19" s="107">
        <f t="shared" si="1"/>
        <v>69548</v>
      </c>
      <c r="E19" s="107" t="e">
        <f t="shared" si="1"/>
        <v>#REF!</v>
      </c>
      <c r="F19" s="111" t="e">
        <f t="shared" si="1"/>
        <v>#REF!</v>
      </c>
      <c r="G19" s="111" t="e">
        <f t="shared" si="1"/>
        <v>#REF!</v>
      </c>
    </row>
    <row r="20" spans="1:7" ht="12.75">
      <c r="A20" s="104" t="s">
        <v>565</v>
      </c>
      <c r="B20" s="97">
        <v>12028</v>
      </c>
      <c r="C20" s="97">
        <v>12027</v>
      </c>
      <c r="D20" s="97">
        <v>14091</v>
      </c>
      <c r="E20" s="97" t="e">
        <f>'ВЕД.СТ Пр.2.'!#REF!</f>
        <v>#REF!</v>
      </c>
      <c r="F20" s="110" t="e">
        <f>'ВЕД.СТ Пр.2.'!#REF!</f>
        <v>#REF!</v>
      </c>
      <c r="G20" s="110" t="e">
        <f>'ВЕД.СТ Пр.2.'!#REF!</f>
        <v>#REF!</v>
      </c>
    </row>
    <row r="21" spans="1:7" ht="12.75">
      <c r="A21" s="103" t="s">
        <v>787</v>
      </c>
      <c r="B21" s="97"/>
      <c r="C21" s="97"/>
      <c r="D21" s="97"/>
      <c r="E21" s="97"/>
      <c r="F21" s="97"/>
      <c r="G21" s="97"/>
    </row>
    <row r="22" spans="1:7" ht="12.75">
      <c r="A22" s="104" t="s">
        <v>576</v>
      </c>
      <c r="B22" s="97">
        <v>11527</v>
      </c>
      <c r="C22" s="97">
        <v>11526</v>
      </c>
      <c r="D22" s="97">
        <v>12837</v>
      </c>
      <c r="E22" s="110" t="e">
        <f>'ВЕД.СТ Пр.2.'!#REF!+'ВЕД.СТ Пр.2.'!#REF!+'ВЕД.СТ Пр.2.'!#REF!</f>
        <v>#REF!</v>
      </c>
      <c r="F22" s="110" t="e">
        <f>'ВЕД.СТ Пр.2.'!#REF!+'ВЕД.СТ Пр.2.'!#REF!+'ВЕД.СТ Пр.2.'!#REF!</f>
        <v>#REF!</v>
      </c>
      <c r="G22" s="110" t="e">
        <f>'ВЕД.СТ Пр.2.'!#REF!+'ВЕД.СТ Пр.2.'!#REF!+'ВЕД.СТ Пр.2.'!#REF!</f>
        <v>#REF!</v>
      </c>
    </row>
    <row r="23" spans="1:7" ht="12.75">
      <c r="A23" s="104" t="s">
        <v>169</v>
      </c>
      <c r="B23" s="97"/>
      <c r="C23" s="97"/>
      <c r="D23" s="97"/>
      <c r="E23" s="97"/>
      <c r="F23" s="97"/>
      <c r="G23" s="97"/>
    </row>
    <row r="24" spans="1:7" ht="12.75">
      <c r="A24" s="104" t="s">
        <v>577</v>
      </c>
      <c r="B24" s="97"/>
      <c r="C24" s="97"/>
      <c r="D24" s="97"/>
      <c r="E24" s="97" t="e">
        <f>'ВЕД.СТ Пр.2.'!#REF!</f>
        <v>#REF!</v>
      </c>
      <c r="F24" s="97" t="e">
        <f>'ВЕД.СТ Пр.2.'!#REF!</f>
        <v>#REF!</v>
      </c>
      <c r="G24" s="110" t="e">
        <f>'ВЕД.СТ Пр.2.'!#REF!</f>
        <v>#REF!</v>
      </c>
    </row>
    <row r="25" spans="1:7" ht="12" customHeight="1">
      <c r="A25" s="104" t="s">
        <v>578</v>
      </c>
      <c r="B25" s="97">
        <v>505</v>
      </c>
      <c r="C25" s="97">
        <v>505</v>
      </c>
      <c r="D25" s="97">
        <v>523</v>
      </c>
      <c r="E25" s="97" t="e">
        <f>'ВЕД.СТ Пр.2.'!#REF!</f>
        <v>#REF!</v>
      </c>
      <c r="F25" s="97" t="e">
        <f>'ВЕД.СТ Пр.2.'!#REF!</f>
        <v>#REF!</v>
      </c>
      <c r="G25" s="110" t="e">
        <f>'ВЕД.СТ Пр.2.'!#REF!</f>
        <v>#REF!</v>
      </c>
    </row>
    <row r="26" spans="1:7" ht="12.75">
      <c r="A26" s="104" t="s">
        <v>579</v>
      </c>
      <c r="B26" s="97">
        <v>46640</v>
      </c>
      <c r="C26" s="97">
        <v>46639</v>
      </c>
      <c r="D26" s="97">
        <v>43510</v>
      </c>
      <c r="E26" s="97" t="e">
        <f>'ВЕД.СТ Пр.2.'!#REF!</f>
        <v>#REF!</v>
      </c>
      <c r="F26" s="110" t="e">
        <f>'ВЕД.СТ Пр.2.'!#REF!</f>
        <v>#REF!</v>
      </c>
      <c r="G26" s="110" t="e">
        <f>'ВЕД.СТ Пр.2.'!#REF!</f>
        <v>#REF!</v>
      </c>
    </row>
    <row r="27" spans="1:7" ht="12.75">
      <c r="A27" s="104" t="s">
        <v>580</v>
      </c>
      <c r="B27" s="97"/>
      <c r="C27" s="97"/>
      <c r="D27" s="97"/>
      <c r="E27" s="97"/>
      <c r="F27" s="110"/>
      <c r="G27" s="110"/>
    </row>
    <row r="28" spans="1:7" ht="12.75">
      <c r="A28" s="104" t="s">
        <v>581</v>
      </c>
      <c r="B28" s="97">
        <v>2010</v>
      </c>
      <c r="C28" s="97">
        <v>2010</v>
      </c>
      <c r="D28" s="97">
        <v>2466</v>
      </c>
      <c r="E28" s="97" t="e">
        <f>'ВЕД.СТ Пр.2.'!#REF!</f>
        <v>#REF!</v>
      </c>
      <c r="F28" s="110" t="e">
        <f>'ВЕД.СТ Пр.2.'!#REF!</f>
        <v>#REF!</v>
      </c>
      <c r="G28" s="110" t="e">
        <f>'ВЕД.СТ Пр.2.'!#REF!</f>
        <v>#REF!</v>
      </c>
    </row>
    <row r="29" spans="1:7" ht="13.5" customHeight="1">
      <c r="A29" s="104" t="s">
        <v>582</v>
      </c>
      <c r="B29" s="97">
        <v>2061</v>
      </c>
      <c r="C29" s="97">
        <v>2057</v>
      </c>
      <c r="D29" s="97">
        <v>3529</v>
      </c>
      <c r="E29" s="97" t="e">
        <f>'ВЕД.СТ Пр.2.'!#REF!</f>
        <v>#REF!</v>
      </c>
      <c r="F29" s="110" t="e">
        <f>'ВЕД.СТ Пр.2.'!#REF!</f>
        <v>#REF!</v>
      </c>
      <c r="G29" s="110" t="e">
        <f>'ВЕД.СТ Пр.2.'!#REF!</f>
        <v>#REF!</v>
      </c>
    </row>
    <row r="30" spans="1:7" ht="12.75">
      <c r="A30" s="106" t="s">
        <v>166</v>
      </c>
      <c r="B30" s="97">
        <v>842</v>
      </c>
      <c r="C30" s="97">
        <v>842</v>
      </c>
      <c r="D30" s="97">
        <v>407</v>
      </c>
      <c r="E30" s="97" t="e">
        <f>'ВЕД.СТ Пр.2.'!#REF!</f>
        <v>#REF!</v>
      </c>
      <c r="F30" s="110" t="e">
        <f>'ВЕД.СТ Пр.2.'!#REF!</f>
        <v>#REF!</v>
      </c>
      <c r="G30" s="110" t="e">
        <f>'ВЕД.СТ Пр.2.'!#REF!</f>
        <v>#REF!</v>
      </c>
    </row>
    <row r="31" spans="1:7" ht="12.75">
      <c r="A31" s="104" t="s">
        <v>167</v>
      </c>
      <c r="B31" s="97">
        <v>2340</v>
      </c>
      <c r="C31" s="97">
        <v>2083</v>
      </c>
      <c r="D31" s="97">
        <v>5022</v>
      </c>
      <c r="E31" s="97" t="e">
        <f>'ВЕД.СТ Пр.2.'!#REF!</f>
        <v>#REF!</v>
      </c>
      <c r="F31" s="97" t="e">
        <f>'ВЕД.СТ Пр.2.'!#REF!</f>
        <v>#REF!</v>
      </c>
      <c r="G31" s="97" t="e">
        <f>'ВЕД.СТ Пр.2.'!#REF!</f>
        <v>#REF!</v>
      </c>
    </row>
    <row r="32" spans="1:7" ht="12.75">
      <c r="A32" s="105" t="s">
        <v>583</v>
      </c>
      <c r="B32" s="97"/>
      <c r="C32" s="97"/>
      <c r="D32" s="97"/>
      <c r="E32" s="97"/>
      <c r="F32" s="97"/>
      <c r="G32" s="97"/>
    </row>
    <row r="33" spans="1:7" ht="12.75">
      <c r="A33" s="106" t="s">
        <v>584</v>
      </c>
      <c r="B33" s="97"/>
      <c r="C33" s="97"/>
      <c r="D33" s="97"/>
      <c r="E33" s="97"/>
      <c r="F33" s="97"/>
      <c r="G33" s="97"/>
    </row>
    <row r="34" spans="1:7" ht="12.75">
      <c r="A34" s="106" t="s">
        <v>585</v>
      </c>
      <c r="B34" s="90"/>
      <c r="C34" s="90"/>
      <c r="D34" s="90"/>
      <c r="E34" s="90"/>
      <c r="F34" s="90"/>
      <c r="G34" s="90"/>
    </row>
    <row r="35" spans="1:7" ht="12.75">
      <c r="A35" s="105" t="s">
        <v>586</v>
      </c>
      <c r="B35" s="108">
        <f aca="true" t="shared" si="2" ref="B35:G35">B10-B19</f>
        <v>-600</v>
      </c>
      <c r="C35" s="108">
        <f t="shared" si="2"/>
        <v>-200</v>
      </c>
      <c r="D35" s="108">
        <f t="shared" si="2"/>
        <v>-1101</v>
      </c>
      <c r="E35" s="108" t="e">
        <f t="shared" si="2"/>
        <v>#REF!</v>
      </c>
      <c r="F35" s="112" t="e">
        <f t="shared" si="2"/>
        <v>#REF!</v>
      </c>
      <c r="G35" s="112" t="e">
        <f t="shared" si="2"/>
        <v>#REF!</v>
      </c>
    </row>
    <row r="36" spans="1:7" ht="12.75">
      <c r="A36" s="105" t="s">
        <v>587</v>
      </c>
      <c r="B36" s="108">
        <f aca="true" t="shared" si="3" ref="B36:G36">B37</f>
        <v>600</v>
      </c>
      <c r="C36" s="108">
        <f t="shared" si="3"/>
        <v>200</v>
      </c>
      <c r="D36" s="108">
        <f t="shared" si="3"/>
        <v>1101</v>
      </c>
      <c r="E36" s="108" t="e">
        <f t="shared" si="3"/>
        <v>#REF!</v>
      </c>
      <c r="F36" s="112" t="e">
        <f t="shared" si="3"/>
        <v>#REF!</v>
      </c>
      <c r="G36" s="112" t="e">
        <f t="shared" si="3"/>
        <v>#REF!</v>
      </c>
    </row>
    <row r="37" spans="1:7" ht="25.5">
      <c r="A37" s="106" t="s">
        <v>588</v>
      </c>
      <c r="B37" s="90">
        <f aca="true" t="shared" si="4" ref="B37:G37">-B35</f>
        <v>600</v>
      </c>
      <c r="C37" s="90">
        <f t="shared" si="4"/>
        <v>200</v>
      </c>
      <c r="D37" s="90">
        <f t="shared" si="4"/>
        <v>1101</v>
      </c>
      <c r="E37" s="90" t="e">
        <f t="shared" si="4"/>
        <v>#REF!</v>
      </c>
      <c r="F37" s="113" t="e">
        <f t="shared" si="4"/>
        <v>#REF!</v>
      </c>
      <c r="G37" s="113" t="e">
        <f t="shared" si="4"/>
        <v>#REF!</v>
      </c>
    </row>
    <row r="38" spans="1:7" ht="12.75">
      <c r="A38" s="106" t="s">
        <v>589</v>
      </c>
      <c r="B38" s="90"/>
      <c r="C38" s="90"/>
      <c r="D38" s="90"/>
      <c r="E38" s="90"/>
      <c r="F38" s="90"/>
      <c r="G38" s="90"/>
    </row>
    <row r="39" spans="1:7" ht="12.75">
      <c r="A39" s="105" t="s">
        <v>590</v>
      </c>
      <c r="B39" s="108">
        <f aca="true" t="shared" si="5" ref="B39:G39">B41</f>
        <v>0</v>
      </c>
      <c r="C39" s="108">
        <f t="shared" si="5"/>
        <v>0</v>
      </c>
      <c r="D39" s="108">
        <f t="shared" si="5"/>
        <v>0</v>
      </c>
      <c r="E39" s="108">
        <f t="shared" si="5"/>
        <v>0</v>
      </c>
      <c r="F39" s="108">
        <f t="shared" si="5"/>
        <v>0</v>
      </c>
      <c r="G39" s="108">
        <f t="shared" si="5"/>
        <v>0</v>
      </c>
    </row>
    <row r="40" spans="1:7" ht="12.75">
      <c r="A40" s="106" t="s">
        <v>787</v>
      </c>
      <c r="B40" s="90"/>
      <c r="C40" s="90"/>
      <c r="D40" s="90"/>
      <c r="E40" s="90"/>
      <c r="F40" s="90"/>
      <c r="G40" s="90"/>
    </row>
    <row r="41" spans="1:7" ht="15.75" customHeight="1">
      <c r="A41" s="106" t="s">
        <v>161</v>
      </c>
      <c r="B41" s="90">
        <v>0</v>
      </c>
      <c r="C41" s="90">
        <v>0</v>
      </c>
      <c r="D41" s="90">
        <v>0</v>
      </c>
      <c r="E41" s="90">
        <v>0</v>
      </c>
      <c r="F41" s="90">
        <v>0</v>
      </c>
      <c r="G41" s="90">
        <v>0</v>
      </c>
    </row>
    <row r="42" spans="1:7" ht="12.75">
      <c r="A42" s="105" t="s">
        <v>162</v>
      </c>
      <c r="B42" s="90"/>
      <c r="C42" s="90"/>
      <c r="D42" s="90"/>
      <c r="E42" s="90"/>
      <c r="F42" s="90"/>
      <c r="G42" s="90"/>
    </row>
    <row r="43" spans="1:7" ht="28.5" customHeight="1">
      <c r="A43" s="106" t="s">
        <v>163</v>
      </c>
      <c r="B43" s="90">
        <v>0</v>
      </c>
      <c r="C43" s="90">
        <v>0</v>
      </c>
      <c r="D43" s="90">
        <v>0</v>
      </c>
      <c r="E43" s="90">
        <v>0</v>
      </c>
      <c r="F43" s="90">
        <v>0</v>
      </c>
      <c r="G43" s="90">
        <v>0</v>
      </c>
    </row>
    <row r="44" spans="1:7" ht="25.5">
      <c r="A44" s="106" t="s">
        <v>165</v>
      </c>
      <c r="B44" s="90">
        <v>0</v>
      </c>
      <c r="C44" s="90">
        <v>0</v>
      </c>
      <c r="D44" s="90">
        <v>0</v>
      </c>
      <c r="E44" s="90">
        <v>0</v>
      </c>
      <c r="F44" s="90">
        <v>0</v>
      </c>
      <c r="G44" s="90"/>
    </row>
    <row r="45" spans="1:7" ht="29.25" customHeight="1">
      <c r="A45" s="106" t="s">
        <v>168</v>
      </c>
      <c r="B45" s="91">
        <f aca="true" t="shared" si="6" ref="B45:G45">B35/(B12+B13)</f>
        <v>-0.010679577088747286</v>
      </c>
      <c r="C45" s="91">
        <f t="shared" si="6"/>
        <v>-0.0035511994176032954</v>
      </c>
      <c r="D45" s="91">
        <f t="shared" si="6"/>
        <v>-0.019679339374765403</v>
      </c>
      <c r="E45" s="91" t="e">
        <f t="shared" si="6"/>
        <v>#REF!</v>
      </c>
      <c r="F45" s="91" t="e">
        <f t="shared" si="6"/>
        <v>#REF!</v>
      </c>
      <c r="G45" s="91" t="e">
        <f t="shared" si="6"/>
        <v>#REF!</v>
      </c>
    </row>
    <row r="47" ht="12.75">
      <c r="A47" s="109" t="s">
        <v>170</v>
      </c>
    </row>
  </sheetData>
  <sheetProtection/>
  <mergeCells count="10">
    <mergeCell ref="D1:G1"/>
    <mergeCell ref="A2:G2"/>
    <mergeCell ref="A4:G4"/>
    <mergeCell ref="A7:A9"/>
    <mergeCell ref="B7:C7"/>
    <mergeCell ref="B8:C8"/>
    <mergeCell ref="F7:G7"/>
    <mergeCell ref="A6:G6"/>
    <mergeCell ref="F3:G3"/>
    <mergeCell ref="A5:G5"/>
  </mergeCells>
  <printOptions/>
  <pageMargins left="0.75" right="0.75" top="0.47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4"/>
  <sheetViews>
    <sheetView zoomScale="84" zoomScaleNormal="84" zoomScalePageLayoutView="0" workbookViewId="0" topLeftCell="C109">
      <selection activeCell="A20" sqref="A20:H20"/>
    </sheetView>
  </sheetViews>
  <sheetFormatPr defaultColWidth="9.00390625" defaultRowHeight="12.75"/>
  <cols>
    <col min="1" max="1" width="5.25390625" style="0" customWidth="1"/>
    <col min="2" max="2" width="23.00390625" style="0" customWidth="1"/>
    <col min="3" max="3" width="53.375" style="0" customWidth="1"/>
    <col min="4" max="4" width="11.375" style="0" customWidth="1"/>
    <col min="5" max="5" width="11.625" style="0" customWidth="1"/>
    <col min="6" max="6" width="11.125" style="0" customWidth="1"/>
    <col min="7" max="7" width="10.25390625" style="0" customWidth="1"/>
    <col min="8" max="8" width="10.75390625" style="0" customWidth="1"/>
    <col min="9" max="9" width="10.625" style="0" bestFit="1" customWidth="1"/>
  </cols>
  <sheetData>
    <row r="1" spans="3:8" ht="12.75">
      <c r="C1" s="3100" t="s">
        <v>175</v>
      </c>
      <c r="D1" s="3100"/>
      <c r="E1" s="3100"/>
      <c r="F1" s="3100"/>
      <c r="G1" s="3100"/>
      <c r="H1" s="3100"/>
    </row>
    <row r="2" spans="3:8" ht="12.75">
      <c r="C2" s="3203" t="str">
        <f>'Бюд.р.'!D119</f>
        <v>№ 02-03-01 от 12.01.2015</v>
      </c>
      <c r="D2" s="3100"/>
      <c r="E2" s="3100"/>
      <c r="F2" s="3100"/>
      <c r="G2" s="3100"/>
      <c r="H2" s="3100"/>
    </row>
    <row r="3" spans="3:8" ht="12.75">
      <c r="C3" s="3203" t="str">
        <f>'Бюд.р.'!D120</f>
        <v>№ 02-03-02 от 14.01.2015</v>
      </c>
      <c r="D3" s="3100"/>
      <c r="E3" s="3100"/>
      <c r="F3" s="3100"/>
      <c r="G3" s="3100"/>
      <c r="H3" s="3100"/>
    </row>
    <row r="4" spans="3:8" ht="12.75" hidden="1">
      <c r="C4" s="3203" t="str">
        <f>'Бюд.р.'!D121</f>
        <v>№ 02-03-03 от 30.01.2015</v>
      </c>
      <c r="D4" s="3100"/>
      <c r="E4" s="3100"/>
      <c r="F4" s="3100"/>
      <c r="G4" s="3100"/>
      <c r="H4" s="3100"/>
    </row>
    <row r="5" spans="3:8" ht="12.75">
      <c r="C5" s="3203" t="str">
        <f>'Бюд.р.'!D122</f>
        <v>№ 02-03-04 от 18.02.2015</v>
      </c>
      <c r="D5" s="3203"/>
      <c r="E5" s="3203"/>
      <c r="F5" s="3203"/>
      <c r="G5" s="3203"/>
      <c r="H5" s="3203"/>
    </row>
    <row r="6" spans="3:8" ht="12.75">
      <c r="C6" s="3192" t="str">
        <f>'Бюд.р.'!D123</f>
        <v>№ 02-03-05 от 24.02.2015</v>
      </c>
      <c r="D6" s="3192"/>
      <c r="E6" s="3192"/>
      <c r="F6" s="3192"/>
      <c r="G6" s="3192"/>
      <c r="H6" s="3192"/>
    </row>
    <row r="7" spans="3:8" ht="12.75">
      <c r="C7" s="3192" t="str">
        <f>'Бюд.р.'!D124</f>
        <v>№ 02-03-06 от 10.03.2015</v>
      </c>
      <c r="D7" s="3192"/>
      <c r="E7" s="3192"/>
      <c r="F7" s="3192"/>
      <c r="G7" s="3192"/>
      <c r="H7" s="3192"/>
    </row>
    <row r="8" spans="3:8" ht="12.75">
      <c r="C8" s="3192" t="str">
        <f>'Бюд.р.'!D125</f>
        <v>№ 02-03-07 от 25.03.2015</v>
      </c>
      <c r="D8" s="3192"/>
      <c r="E8" s="3192"/>
      <c r="F8" s="3192"/>
      <c r="G8" s="3192"/>
      <c r="H8" s="3192"/>
    </row>
    <row r="9" spans="3:8" ht="12.75">
      <c r="C9" s="3192" t="str">
        <f>'Бюд.р.'!D126</f>
        <v>№ 02-03-08 от 21.04.2015</v>
      </c>
      <c r="D9" s="3192"/>
      <c r="E9" s="3192"/>
      <c r="F9" s="3192"/>
      <c r="G9" s="3192"/>
      <c r="H9" s="3192"/>
    </row>
    <row r="10" spans="3:8" ht="12.75">
      <c r="C10" s="3192" t="str">
        <f>'Бюд.р.'!D127</f>
        <v>№ 02-03-09 от 29.04.2015</v>
      </c>
      <c r="D10" s="3192"/>
      <c r="E10" s="3192"/>
      <c r="F10" s="3192"/>
      <c r="G10" s="3192"/>
      <c r="H10" s="3192"/>
    </row>
    <row r="11" spans="3:8" ht="12.75">
      <c r="C11" s="3192" t="str">
        <f>'Бюд.р.'!D128</f>
        <v>№ 02-03-10 от 21.05.2015</v>
      </c>
      <c r="D11" s="3192"/>
      <c r="E11" s="3192"/>
      <c r="F11" s="3192"/>
      <c r="G11" s="3192"/>
      <c r="H11" s="3192"/>
    </row>
    <row r="12" spans="3:8" ht="12.75">
      <c r="C12" s="3192" t="str">
        <f>'Бюд.р.'!D129</f>
        <v>№ 02-03-11 от 24.06.2015</v>
      </c>
      <c r="D12" s="3192"/>
      <c r="E12" s="3192"/>
      <c r="F12" s="3192"/>
      <c r="G12" s="3192"/>
      <c r="H12" s="3192"/>
    </row>
    <row r="13" spans="3:8" ht="12.75">
      <c r="C13" s="3192" t="str">
        <f>'Бюд.р.'!D130</f>
        <v>№ 02-03-12 от 24.07.2015</v>
      </c>
      <c r="D13" s="3192"/>
      <c r="E13" s="3192"/>
      <c r="F13" s="3192"/>
      <c r="G13" s="3192"/>
      <c r="H13" s="3192"/>
    </row>
    <row r="14" spans="3:8" ht="12.75">
      <c r="C14" s="3192" t="str">
        <f>'Бюд.р.'!D131</f>
        <v>№ 02-03-13 от 19.08.2015</v>
      </c>
      <c r="D14" s="3192"/>
      <c r="E14" s="3192"/>
      <c r="F14" s="3192"/>
      <c r="G14" s="3192"/>
      <c r="H14" s="3192"/>
    </row>
    <row r="15" spans="3:8" ht="12.75">
      <c r="C15" s="3192" t="str">
        <f>'Бюд.р.'!D132</f>
        <v>№ 02-03-14 от 31.08.2015</v>
      </c>
      <c r="D15" s="3192"/>
      <c r="E15" s="3192"/>
      <c r="F15" s="3192"/>
      <c r="G15" s="3192"/>
      <c r="H15" s="3192"/>
    </row>
    <row r="16" spans="3:8" ht="12.75">
      <c r="C16" s="3192" t="str">
        <f>'Бюд.р.'!D133</f>
        <v>№ 02-03-15 от 30.09.2015</v>
      </c>
      <c r="D16" s="3192"/>
      <c r="E16" s="3192"/>
      <c r="F16" s="3192"/>
      <c r="G16" s="3192"/>
      <c r="H16" s="3192"/>
    </row>
    <row r="17" spans="3:8" ht="12.75">
      <c r="C17" s="3192" t="str">
        <f>'Бюд.р.'!D134</f>
        <v>№ 02-03-16 от 14.10.2015</v>
      </c>
      <c r="D17" s="3192"/>
      <c r="E17" s="3192"/>
      <c r="F17" s="3192"/>
      <c r="G17" s="3192"/>
      <c r="H17" s="3192"/>
    </row>
    <row r="18" spans="3:8" ht="12.75">
      <c r="C18" s="3192" t="str">
        <f>'Бюд.р.'!D135</f>
        <v>№ 02-03-17 от 28.10.2015</v>
      </c>
      <c r="D18" s="3192"/>
      <c r="E18" s="3192"/>
      <c r="F18" s="3192"/>
      <c r="G18" s="3192"/>
      <c r="H18" s="3192"/>
    </row>
    <row r="19" spans="3:8" ht="12.75">
      <c r="C19" s="3196" t="str">
        <f>'Бюд.р.'!D139</f>
        <v>№ 02-03-22 от 23.12.2015</v>
      </c>
      <c r="D19" s="3196"/>
      <c r="E19" s="3196"/>
      <c r="F19" s="3196"/>
      <c r="G19" s="3196"/>
      <c r="H19" s="3196"/>
    </row>
    <row r="20" spans="1:8" ht="15.75">
      <c r="A20" s="3191" t="s">
        <v>174</v>
      </c>
      <c r="B20" s="3191"/>
      <c r="C20" s="3191"/>
      <c r="D20" s="3191"/>
      <c r="E20" s="3191"/>
      <c r="F20" s="3191"/>
      <c r="G20" s="3191"/>
      <c r="H20" s="3191"/>
    </row>
    <row r="21" spans="1:8" ht="15.75">
      <c r="A21" s="3191" t="s">
        <v>173</v>
      </c>
      <c r="B21" s="3191"/>
      <c r="C21" s="3191"/>
      <c r="D21" s="3191"/>
      <c r="E21" s="3191"/>
      <c r="F21" s="3191"/>
      <c r="G21" s="3191"/>
      <c r="H21" s="3191"/>
    </row>
    <row r="22" spans="1:8" ht="15.75">
      <c r="A22" s="3191" t="s">
        <v>404</v>
      </c>
      <c r="B22" s="3191"/>
      <c r="C22" s="3191"/>
      <c r="D22" s="3191"/>
      <c r="E22" s="3191"/>
      <c r="F22" s="3191"/>
      <c r="G22" s="3191"/>
      <c r="H22" s="3191"/>
    </row>
    <row r="23" spans="1:8" ht="15" customHeight="1" thickBot="1">
      <c r="A23" s="3195" t="s">
        <v>1257</v>
      </c>
      <c r="B23" s="3195"/>
      <c r="C23" s="3195"/>
      <c r="D23" s="3195"/>
      <c r="E23" s="3195"/>
      <c r="F23" s="3195"/>
      <c r="G23" s="3195"/>
      <c r="H23" s="3195"/>
    </row>
    <row r="24" spans="1:8" ht="15.75">
      <c r="A24" s="3201" t="s">
        <v>267</v>
      </c>
      <c r="B24" s="3202"/>
      <c r="C24" s="3197" t="s">
        <v>266</v>
      </c>
      <c r="D24" s="72" t="s">
        <v>268</v>
      </c>
      <c r="E24" s="3199" t="s">
        <v>445</v>
      </c>
      <c r="F24" s="3193" t="s">
        <v>446</v>
      </c>
      <c r="G24" s="3193" t="s">
        <v>447</v>
      </c>
      <c r="H24" s="3189" t="s">
        <v>448</v>
      </c>
    </row>
    <row r="25" spans="1:8" ht="36.75" customHeight="1" thickBot="1">
      <c r="A25" s="74" t="s">
        <v>154</v>
      </c>
      <c r="B25" s="75" t="s">
        <v>601</v>
      </c>
      <c r="C25" s="3198"/>
      <c r="D25" s="73" t="s">
        <v>269</v>
      </c>
      <c r="E25" s="3200"/>
      <c r="F25" s="3194"/>
      <c r="G25" s="3194"/>
      <c r="H25" s="3190"/>
    </row>
    <row r="26" spans="1:8" ht="33" customHeight="1" thickBot="1">
      <c r="A26" s="59" t="s">
        <v>152</v>
      </c>
      <c r="B26" s="60" t="s">
        <v>151</v>
      </c>
      <c r="C26" s="58" t="s">
        <v>373</v>
      </c>
      <c r="D26" s="348">
        <f>D28+D44+D47+D51+D58+D64+D70+D86+D92</f>
        <v>105599.3</v>
      </c>
      <c r="E26" s="557">
        <f>E28+E44+E47+E51+E58+E64+E70+E86+E92</f>
        <v>16786</v>
      </c>
      <c r="F26" s="349">
        <f>F28+F44+F47+F51+F58+F64+F70+F86+F92</f>
        <v>24626.8</v>
      </c>
      <c r="G26" s="349">
        <f>G28+G44+G47+G51+G58+G64+G70+G86+G92</f>
        <v>32897</v>
      </c>
      <c r="H26" s="349">
        <f>H28+H44+H47+H51+H58+H64+H70+H86+H92</f>
        <v>31289.5</v>
      </c>
    </row>
    <row r="27" spans="1:8" ht="19.5" customHeight="1" thickBot="1">
      <c r="A27" s="179"/>
      <c r="B27" s="180"/>
      <c r="C27" s="181" t="s">
        <v>479</v>
      </c>
      <c r="D27" s="989"/>
      <c r="E27" s="558"/>
      <c r="F27" s="350"/>
      <c r="G27" s="350"/>
      <c r="H27" s="351"/>
    </row>
    <row r="28" spans="1:8" ht="15" customHeight="1" thickBot="1">
      <c r="A28" s="35" t="s">
        <v>154</v>
      </c>
      <c r="B28" s="61" t="s">
        <v>153</v>
      </c>
      <c r="C28" s="86" t="s">
        <v>270</v>
      </c>
      <c r="D28" s="352">
        <f>SUM(E28:H28)</f>
        <v>60562.6</v>
      </c>
      <c r="E28" s="559">
        <f>E29+E39+E42</f>
        <v>14171</v>
      </c>
      <c r="F28" s="559">
        <f>F29+F39+F42</f>
        <v>16367</v>
      </c>
      <c r="G28" s="559">
        <f>G29+G39+G42</f>
        <v>15568</v>
      </c>
      <c r="H28" s="559">
        <f>H29+H39+H42</f>
        <v>14456.6</v>
      </c>
    </row>
    <row r="29" spans="1:8" ht="28.5" customHeight="1">
      <c r="A29" s="1677" t="s">
        <v>154</v>
      </c>
      <c r="B29" s="1678" t="s">
        <v>602</v>
      </c>
      <c r="C29" s="1679" t="s">
        <v>321</v>
      </c>
      <c r="D29" s="1680">
        <f>D31+D34+D37</f>
        <v>26832.6</v>
      </c>
      <c r="E29" s="1681">
        <f>E31+E34+E37</f>
        <v>6225</v>
      </c>
      <c r="F29" s="1682">
        <f>F31+F34+F37</f>
        <v>7881</v>
      </c>
      <c r="G29" s="1682">
        <f>G31+G34+G37</f>
        <v>6226</v>
      </c>
      <c r="H29" s="1683">
        <f>H31+H34+H37</f>
        <v>6500.6</v>
      </c>
    </row>
    <row r="30" spans="1:8" ht="24" customHeight="1" hidden="1" thickBot="1">
      <c r="A30" s="80"/>
      <c r="B30" s="463"/>
      <c r="C30" s="67" t="s">
        <v>307</v>
      </c>
      <c r="D30" s="990" t="e">
        <f>SUM(E30:H30)</f>
        <v>#REF!</v>
      </c>
      <c r="E30" s="1007" t="e">
        <f>E31+E34+E39+E46+E49+E62+E71+#REF!+E80+E85</f>
        <v>#REF!</v>
      </c>
      <c r="F30" s="332" t="e">
        <f>F31+F34+F39+F46+F49+F62+F71+#REF!+F80+F85</f>
        <v>#REF!</v>
      </c>
      <c r="G30" s="332" t="e">
        <f>G31+G34+G39+G46+G49+G62+G71+#REF!+G80+G85</f>
        <v>#REF!</v>
      </c>
      <c r="H30" s="333" t="e">
        <f>H31+H34+H39+H46+H49+H62+H71+#REF!+H80+H85</f>
        <v>#REF!</v>
      </c>
    </row>
    <row r="31" spans="1:8" ht="30.75" customHeight="1">
      <c r="A31" s="184" t="s">
        <v>155</v>
      </c>
      <c r="B31" s="769" t="s">
        <v>156</v>
      </c>
      <c r="C31" s="983" t="s">
        <v>337</v>
      </c>
      <c r="D31" s="991">
        <f>SUM(D32:D33)</f>
        <v>19140</v>
      </c>
      <c r="E31" s="1008">
        <f>SUM(E32:E33)</f>
        <v>4354</v>
      </c>
      <c r="F31" s="988">
        <f>SUM(F32:F33)</f>
        <v>5398</v>
      </c>
      <c r="G31" s="988">
        <f>SUM(G32:G33)</f>
        <v>5050</v>
      </c>
      <c r="H31" s="1009">
        <f>SUM(H32:H33)</f>
        <v>4338</v>
      </c>
    </row>
    <row r="32" spans="1:8" ht="30.75" customHeight="1">
      <c r="A32" s="182" t="s">
        <v>155</v>
      </c>
      <c r="B32" s="393" t="s">
        <v>843</v>
      </c>
      <c r="C32" s="982" t="s">
        <v>337</v>
      </c>
      <c r="D32" s="992">
        <f aca="true" t="shared" si="0" ref="D32:D45">SUM(E32:H32)</f>
        <v>19137</v>
      </c>
      <c r="E32" s="1010">
        <v>4352</v>
      </c>
      <c r="F32" s="339">
        <v>5397</v>
      </c>
      <c r="G32" s="339">
        <v>5050</v>
      </c>
      <c r="H32" s="340">
        <v>4338</v>
      </c>
    </row>
    <row r="33" spans="1:8" ht="40.5" customHeight="1">
      <c r="A33" s="182" t="s">
        <v>155</v>
      </c>
      <c r="B33" s="393" t="s">
        <v>844</v>
      </c>
      <c r="C33" s="982" t="s">
        <v>847</v>
      </c>
      <c r="D33" s="992">
        <f t="shared" si="0"/>
        <v>3</v>
      </c>
      <c r="E33" s="1010">
        <v>2</v>
      </c>
      <c r="F33" s="339">
        <v>1</v>
      </c>
      <c r="G33" s="339">
        <v>0</v>
      </c>
      <c r="H33" s="340">
        <v>0</v>
      </c>
    </row>
    <row r="34" spans="1:8" ht="40.5" customHeight="1">
      <c r="A34" s="184" t="s">
        <v>155</v>
      </c>
      <c r="B34" s="769" t="s">
        <v>201</v>
      </c>
      <c r="C34" s="983" t="s">
        <v>338</v>
      </c>
      <c r="D34" s="991">
        <f t="shared" si="0"/>
        <v>5938.6</v>
      </c>
      <c r="E34" s="1011">
        <f>SUM(E35:E36)</f>
        <v>1081</v>
      </c>
      <c r="F34" s="1011">
        <f>SUM(F35:F36)</f>
        <v>1683</v>
      </c>
      <c r="G34" s="1011">
        <f>SUM(G35:G36)</f>
        <v>1121</v>
      </c>
      <c r="H34" s="1011">
        <f>SUM(H35:H36)</f>
        <v>2053.6</v>
      </c>
    </row>
    <row r="35" spans="1:8" ht="24.75" customHeight="1">
      <c r="A35" s="182" t="s">
        <v>155</v>
      </c>
      <c r="B35" s="393" t="s">
        <v>845</v>
      </c>
      <c r="C35" s="982" t="s">
        <v>338</v>
      </c>
      <c r="D35" s="992">
        <f t="shared" si="0"/>
        <v>5937.6</v>
      </c>
      <c r="E35" s="1010">
        <v>1080</v>
      </c>
      <c r="F35" s="339">
        <v>1683</v>
      </c>
      <c r="G35" s="339">
        <v>1121</v>
      </c>
      <c r="H35" s="340">
        <f>1166+887.6</f>
        <v>2053.6</v>
      </c>
    </row>
    <row r="36" spans="1:8" ht="35.25" customHeight="1">
      <c r="A36" s="182" t="s">
        <v>155</v>
      </c>
      <c r="B36" s="393" t="s">
        <v>846</v>
      </c>
      <c r="C36" s="982" t="s">
        <v>848</v>
      </c>
      <c r="D36" s="992">
        <f t="shared" si="0"/>
        <v>1</v>
      </c>
      <c r="E36" s="1010">
        <v>1</v>
      </c>
      <c r="F36" s="339">
        <v>0</v>
      </c>
      <c r="G36" s="339">
        <v>0</v>
      </c>
      <c r="H36" s="340">
        <v>0</v>
      </c>
    </row>
    <row r="37" spans="1:8" ht="27" customHeight="1">
      <c r="A37" s="984" t="s">
        <v>860</v>
      </c>
      <c r="B37" s="547" t="s">
        <v>863</v>
      </c>
      <c r="C37" s="1035" t="s">
        <v>862</v>
      </c>
      <c r="D37" s="1031">
        <f t="shared" si="0"/>
        <v>1754</v>
      </c>
      <c r="E37" s="1032">
        <v>790</v>
      </c>
      <c r="F37" s="1033">
        <v>800</v>
      </c>
      <c r="G37" s="1033">
        <v>55</v>
      </c>
      <c r="H37" s="1034">
        <v>109</v>
      </c>
    </row>
    <row r="38" spans="1:8" ht="33" customHeight="1" hidden="1">
      <c r="A38" s="182" t="s">
        <v>860</v>
      </c>
      <c r="B38" s="393" t="s">
        <v>861</v>
      </c>
      <c r="C38" s="1030" t="s">
        <v>862</v>
      </c>
      <c r="D38" s="992">
        <f t="shared" si="0"/>
        <v>1319.3</v>
      </c>
      <c r="E38" s="1010">
        <v>322.3</v>
      </c>
      <c r="F38" s="1028">
        <v>767.3</v>
      </c>
      <c r="G38" s="1028">
        <v>105.7</v>
      </c>
      <c r="H38" s="1029">
        <v>124</v>
      </c>
    </row>
    <row r="39" spans="1:8" ht="26.25" customHeight="1">
      <c r="A39" s="1684" t="s">
        <v>155</v>
      </c>
      <c r="B39" s="1685" t="s">
        <v>490</v>
      </c>
      <c r="C39" s="1686" t="s">
        <v>271</v>
      </c>
      <c r="D39" s="1687">
        <f t="shared" si="0"/>
        <v>33333</v>
      </c>
      <c r="E39" s="1688">
        <f>SUM(E40:E41)</f>
        <v>7833</v>
      </c>
      <c r="F39" s="1689">
        <f>SUM(F40:F41)</f>
        <v>8400</v>
      </c>
      <c r="G39" s="1689">
        <f>SUM(G40:G41)</f>
        <v>9200</v>
      </c>
      <c r="H39" s="1690">
        <f>SUM(H40:H41)</f>
        <v>7900</v>
      </c>
    </row>
    <row r="40" spans="1:8" ht="16.5" customHeight="1">
      <c r="A40" s="83" t="s">
        <v>155</v>
      </c>
      <c r="B40" s="393" t="s">
        <v>849</v>
      </c>
      <c r="C40" s="982" t="s">
        <v>271</v>
      </c>
      <c r="D40" s="992">
        <f t="shared" si="0"/>
        <v>33300</v>
      </c>
      <c r="E40" s="1010">
        <v>7800</v>
      </c>
      <c r="F40" s="339">
        <v>8400</v>
      </c>
      <c r="G40" s="339">
        <v>9200</v>
      </c>
      <c r="H40" s="340">
        <v>7900</v>
      </c>
    </row>
    <row r="41" spans="1:8" ht="25.5" customHeight="1">
      <c r="A41" s="83" t="s">
        <v>155</v>
      </c>
      <c r="B41" s="393" t="s">
        <v>850</v>
      </c>
      <c r="C41" s="982" t="s">
        <v>851</v>
      </c>
      <c r="D41" s="992">
        <f t="shared" si="0"/>
        <v>33</v>
      </c>
      <c r="E41" s="1010">
        <v>33</v>
      </c>
      <c r="F41" s="339">
        <v>0</v>
      </c>
      <c r="G41" s="339">
        <v>0</v>
      </c>
      <c r="H41" s="340">
        <v>0</v>
      </c>
    </row>
    <row r="42" spans="1:8" ht="27.75" customHeight="1">
      <c r="A42" s="1684" t="s">
        <v>154</v>
      </c>
      <c r="B42" s="1685" t="s">
        <v>1108</v>
      </c>
      <c r="C42" s="1686" t="s">
        <v>1109</v>
      </c>
      <c r="D42" s="1687">
        <f>SUM(E42:H42)</f>
        <v>397</v>
      </c>
      <c r="E42" s="1688">
        <f>SUM(E43:E43)</f>
        <v>113</v>
      </c>
      <c r="F42" s="1689">
        <f>SUM(F43:F43)</f>
        <v>86</v>
      </c>
      <c r="G42" s="1689">
        <f>SUM(G43:G43)</f>
        <v>142</v>
      </c>
      <c r="H42" s="1690">
        <f>SUM(H43:H43)</f>
        <v>56</v>
      </c>
    </row>
    <row r="43" spans="1:8" ht="35.25" customHeight="1">
      <c r="A43" s="83" t="s">
        <v>155</v>
      </c>
      <c r="B43" s="393" t="s">
        <v>1110</v>
      </c>
      <c r="C43" s="982" t="s">
        <v>1350</v>
      </c>
      <c r="D43" s="992">
        <f>SUM(E43:H43)</f>
        <v>397</v>
      </c>
      <c r="E43" s="1010">
        <v>113</v>
      </c>
      <c r="F43" s="339">
        <v>86</v>
      </c>
      <c r="G43" s="339">
        <v>142</v>
      </c>
      <c r="H43" s="340">
        <v>56</v>
      </c>
    </row>
    <row r="44" spans="1:8" ht="17.25" customHeight="1">
      <c r="A44" s="401" t="s">
        <v>154</v>
      </c>
      <c r="B44" s="382" t="s">
        <v>157</v>
      </c>
      <c r="C44" s="426" t="s">
        <v>272</v>
      </c>
      <c r="D44" s="993">
        <f t="shared" si="0"/>
        <v>42399.9</v>
      </c>
      <c r="E44" s="1012">
        <f aca="true" t="shared" si="1" ref="E44:H45">E45</f>
        <v>2132</v>
      </c>
      <c r="F44" s="383">
        <f t="shared" si="1"/>
        <v>7567</v>
      </c>
      <c r="G44" s="383">
        <f t="shared" si="1"/>
        <v>16301</v>
      </c>
      <c r="H44" s="402">
        <f t="shared" si="1"/>
        <v>16399.9</v>
      </c>
    </row>
    <row r="45" spans="1:8" ht="15" customHeight="1">
      <c r="A45" s="1684" t="s">
        <v>154</v>
      </c>
      <c r="B45" s="1685" t="s">
        <v>603</v>
      </c>
      <c r="C45" s="1686" t="s">
        <v>273</v>
      </c>
      <c r="D45" s="1687">
        <f t="shared" si="0"/>
        <v>42399.9</v>
      </c>
      <c r="E45" s="1688">
        <f t="shared" si="1"/>
        <v>2132</v>
      </c>
      <c r="F45" s="1691">
        <f t="shared" si="1"/>
        <v>7567</v>
      </c>
      <c r="G45" s="1691">
        <f t="shared" si="1"/>
        <v>16301</v>
      </c>
      <c r="H45" s="1692">
        <f t="shared" si="1"/>
        <v>16399.9</v>
      </c>
    </row>
    <row r="46" spans="1:8" ht="51">
      <c r="A46" s="64" t="s">
        <v>155</v>
      </c>
      <c r="B46" s="381" t="s">
        <v>491</v>
      </c>
      <c r="C46" s="427" t="s">
        <v>1351</v>
      </c>
      <c r="D46" s="991">
        <f>SUM(E46:H46)</f>
        <v>42399.9</v>
      </c>
      <c r="E46" s="1013">
        <v>2132</v>
      </c>
      <c r="F46" s="334">
        <v>7567</v>
      </c>
      <c r="G46" s="334">
        <v>16301</v>
      </c>
      <c r="H46" s="335">
        <f>10343.333+56.595+3000-0.028+3000</f>
        <v>16399.9</v>
      </c>
    </row>
    <row r="47" spans="1:8" ht="24.75" customHeight="1">
      <c r="A47" s="183" t="s">
        <v>154</v>
      </c>
      <c r="B47" s="385" t="s">
        <v>116</v>
      </c>
      <c r="C47" s="428" t="s">
        <v>551</v>
      </c>
      <c r="D47" s="994">
        <f>D48</f>
        <v>10</v>
      </c>
      <c r="E47" s="1014">
        <f>E48</f>
        <v>10</v>
      </c>
      <c r="F47" s="386">
        <f>F48</f>
        <v>0</v>
      </c>
      <c r="G47" s="386">
        <f>G48</f>
        <v>0</v>
      </c>
      <c r="H47" s="386">
        <f>G47</f>
        <v>0</v>
      </c>
    </row>
    <row r="48" spans="1:8" ht="17.25" customHeight="1">
      <c r="A48" s="1693" t="s">
        <v>154</v>
      </c>
      <c r="B48" s="395" t="s">
        <v>746</v>
      </c>
      <c r="C48" s="1686" t="s">
        <v>747</v>
      </c>
      <c r="D48" s="1687">
        <f>SUM(E48:H48)</f>
        <v>10</v>
      </c>
      <c r="E48" s="1688">
        <f>E49</f>
        <v>10</v>
      </c>
      <c r="F48" s="1691">
        <f>F49</f>
        <v>0</v>
      </c>
      <c r="G48" s="1691">
        <f>G49</f>
        <v>0</v>
      </c>
      <c r="H48" s="1691">
        <f>H49</f>
        <v>0</v>
      </c>
    </row>
    <row r="49" spans="1:8" ht="25.5">
      <c r="A49" s="63" t="s">
        <v>155</v>
      </c>
      <c r="B49" s="388" t="s">
        <v>198</v>
      </c>
      <c r="C49" s="427" t="s">
        <v>274</v>
      </c>
      <c r="D49" s="991">
        <f>SUM(E49:H49)</f>
        <v>10</v>
      </c>
      <c r="E49" s="1015">
        <v>10</v>
      </c>
      <c r="F49" s="320">
        <v>0</v>
      </c>
      <c r="G49" s="320">
        <v>0</v>
      </c>
      <c r="H49" s="321">
        <v>0</v>
      </c>
    </row>
    <row r="50" spans="1:8" ht="15.75">
      <c r="A50" s="405"/>
      <c r="B50" s="389"/>
      <c r="C50" s="429" t="s">
        <v>480</v>
      </c>
      <c r="D50" s="995"/>
      <c r="E50" s="1016"/>
      <c r="F50" s="390"/>
      <c r="G50" s="390"/>
      <c r="H50" s="406"/>
    </row>
    <row r="51" spans="1:8" ht="36" hidden="1">
      <c r="A51" s="401" t="s">
        <v>154</v>
      </c>
      <c r="B51" s="385" t="s">
        <v>122</v>
      </c>
      <c r="C51" s="430" t="s">
        <v>123</v>
      </c>
      <c r="D51" s="996">
        <f>D52+D55</f>
        <v>0</v>
      </c>
      <c r="E51" s="1017">
        <f>E52+E55</f>
        <v>0</v>
      </c>
      <c r="F51" s="391">
        <f>F52+F55</f>
        <v>0</v>
      </c>
      <c r="G51" s="391">
        <f>G52+G55</f>
        <v>0</v>
      </c>
      <c r="H51" s="407">
        <f>H52+H55</f>
        <v>0</v>
      </c>
    </row>
    <row r="52" spans="1:8" ht="24" hidden="1">
      <c r="A52" s="404" t="s">
        <v>591</v>
      </c>
      <c r="B52" s="387" t="s">
        <v>124</v>
      </c>
      <c r="C52" s="431" t="s">
        <v>125</v>
      </c>
      <c r="D52" s="997">
        <f>D54</f>
        <v>0</v>
      </c>
      <c r="E52" s="1018">
        <f>E54</f>
        <v>0</v>
      </c>
      <c r="F52" s="326">
        <f>F54</f>
        <v>0</v>
      </c>
      <c r="G52" s="326">
        <f>G54</f>
        <v>0</v>
      </c>
      <c r="H52" s="327">
        <f>H54</f>
        <v>0</v>
      </c>
    </row>
    <row r="53" spans="1:8" ht="89.25" hidden="1">
      <c r="A53" s="63" t="s">
        <v>591</v>
      </c>
      <c r="B53" s="388" t="s">
        <v>196</v>
      </c>
      <c r="C53" s="432" t="s">
        <v>640</v>
      </c>
      <c r="D53" s="998">
        <f>D54</f>
        <v>0</v>
      </c>
      <c r="E53" s="1019">
        <f>E54</f>
        <v>0</v>
      </c>
      <c r="F53" s="322">
        <f>F54</f>
        <v>0</v>
      </c>
      <c r="G53" s="322">
        <f>G54</f>
        <v>0</v>
      </c>
      <c r="H53" s="323">
        <f>H54</f>
        <v>0</v>
      </c>
    </row>
    <row r="54" spans="1:8" ht="60" hidden="1">
      <c r="A54" s="63" t="s">
        <v>591</v>
      </c>
      <c r="B54" s="392" t="s">
        <v>126</v>
      </c>
      <c r="C54" s="433" t="s">
        <v>364</v>
      </c>
      <c r="D54" s="999">
        <f>SUM(E54:H54)</f>
        <v>0</v>
      </c>
      <c r="E54" s="1020">
        <v>0</v>
      </c>
      <c r="F54" s="324">
        <v>0</v>
      </c>
      <c r="G54" s="324">
        <v>0</v>
      </c>
      <c r="H54" s="325">
        <v>0</v>
      </c>
    </row>
    <row r="55" spans="1:8" ht="24" hidden="1">
      <c r="A55" s="404" t="s">
        <v>591</v>
      </c>
      <c r="B55" s="387" t="s">
        <v>127</v>
      </c>
      <c r="C55" s="434" t="s">
        <v>128</v>
      </c>
      <c r="D55" s="997">
        <f aca="true" t="shared" si="2" ref="D55:H56">D56</f>
        <v>0</v>
      </c>
      <c r="E55" s="1018">
        <f t="shared" si="2"/>
        <v>0</v>
      </c>
      <c r="F55" s="326">
        <f t="shared" si="2"/>
        <v>0</v>
      </c>
      <c r="G55" s="326">
        <f t="shared" si="2"/>
        <v>0</v>
      </c>
      <c r="H55" s="327">
        <f t="shared" si="2"/>
        <v>0</v>
      </c>
    </row>
    <row r="56" spans="1:8" ht="38.25" hidden="1">
      <c r="A56" s="63" t="s">
        <v>591</v>
      </c>
      <c r="B56" s="388" t="s">
        <v>129</v>
      </c>
      <c r="C56" s="432" t="s">
        <v>130</v>
      </c>
      <c r="D56" s="998">
        <f t="shared" si="2"/>
        <v>0</v>
      </c>
      <c r="E56" s="1019">
        <f t="shared" si="2"/>
        <v>0</v>
      </c>
      <c r="F56" s="322">
        <f t="shared" si="2"/>
        <v>0</v>
      </c>
      <c r="G56" s="322">
        <f t="shared" si="2"/>
        <v>0</v>
      </c>
      <c r="H56" s="323">
        <f t="shared" si="2"/>
        <v>0</v>
      </c>
    </row>
    <row r="57" spans="1:8" ht="60" hidden="1">
      <c r="A57" s="78" t="s">
        <v>591</v>
      </c>
      <c r="B57" s="392" t="s">
        <v>131</v>
      </c>
      <c r="C57" s="433" t="s">
        <v>365</v>
      </c>
      <c r="D57" s="999">
        <f>SUM(E57:H57)</f>
        <v>0</v>
      </c>
      <c r="E57" s="1020">
        <v>0</v>
      </c>
      <c r="F57" s="324">
        <v>0</v>
      </c>
      <c r="G57" s="324">
        <v>0</v>
      </c>
      <c r="H57" s="325">
        <v>0</v>
      </c>
    </row>
    <row r="58" spans="1:8" ht="24.75" customHeight="1">
      <c r="A58" s="401" t="s">
        <v>154</v>
      </c>
      <c r="B58" s="385" t="s">
        <v>802</v>
      </c>
      <c r="C58" s="430" t="s">
        <v>911</v>
      </c>
      <c r="D58" s="996">
        <f aca="true" t="shared" si="3" ref="D58:H59">D59</f>
        <v>900</v>
      </c>
      <c r="E58" s="1017">
        <f t="shared" si="3"/>
        <v>0</v>
      </c>
      <c r="F58" s="391">
        <f t="shared" si="3"/>
        <v>230</v>
      </c>
      <c r="G58" s="391">
        <f t="shared" si="3"/>
        <v>600</v>
      </c>
      <c r="H58" s="407">
        <f t="shared" si="3"/>
        <v>70</v>
      </c>
    </row>
    <row r="59" spans="1:8" ht="12.75">
      <c r="A59" s="404" t="s">
        <v>154</v>
      </c>
      <c r="B59" s="387" t="s">
        <v>932</v>
      </c>
      <c r="C59" s="434" t="s">
        <v>1010</v>
      </c>
      <c r="D59" s="997">
        <f>SUM(E59:H59)</f>
        <v>900</v>
      </c>
      <c r="E59" s="1018">
        <f>E60</f>
        <v>0</v>
      </c>
      <c r="F59" s="1018">
        <f t="shared" si="3"/>
        <v>230</v>
      </c>
      <c r="G59" s="1018">
        <f t="shared" si="3"/>
        <v>600</v>
      </c>
      <c r="H59" s="1018">
        <f t="shared" si="3"/>
        <v>70</v>
      </c>
    </row>
    <row r="60" spans="1:8" ht="12.75">
      <c r="A60" s="404" t="s">
        <v>852</v>
      </c>
      <c r="B60" s="70" t="s">
        <v>1011</v>
      </c>
      <c r="C60" s="987" t="s">
        <v>1012</v>
      </c>
      <c r="D60" s="997">
        <f>SUM(E60:H60)</f>
        <v>900</v>
      </c>
      <c r="E60" s="1018">
        <f>E61</f>
        <v>0</v>
      </c>
      <c r="F60" s="1018">
        <f>F61</f>
        <v>230</v>
      </c>
      <c r="G60" s="1018">
        <f>G61</f>
        <v>600</v>
      </c>
      <c r="H60" s="1018">
        <f>H61</f>
        <v>70</v>
      </c>
    </row>
    <row r="61" spans="1:8" ht="38.25">
      <c r="A61" s="63" t="s">
        <v>852</v>
      </c>
      <c r="B61" s="388" t="s">
        <v>933</v>
      </c>
      <c r="C61" s="432" t="s">
        <v>1352</v>
      </c>
      <c r="D61" s="998">
        <f>SUM(D62:D63)</f>
        <v>900</v>
      </c>
      <c r="E61" s="1019">
        <f>SUM(E62:E63)</f>
        <v>0</v>
      </c>
      <c r="F61" s="322">
        <f>SUM(F62:F63)</f>
        <v>230</v>
      </c>
      <c r="G61" s="322">
        <f>SUM(G62:G63)</f>
        <v>600</v>
      </c>
      <c r="H61" s="323">
        <f>SUM(H62:H63)</f>
        <v>70</v>
      </c>
    </row>
    <row r="62" spans="1:8" ht="60">
      <c r="A62" s="78" t="s">
        <v>852</v>
      </c>
      <c r="B62" s="392" t="s">
        <v>934</v>
      </c>
      <c r="C62" s="435" t="s">
        <v>552</v>
      </c>
      <c r="D62" s="1000">
        <f>SUM(E62:H62)</f>
        <v>900</v>
      </c>
      <c r="E62" s="1021">
        <v>0</v>
      </c>
      <c r="F62" s="328">
        <v>230</v>
      </c>
      <c r="G62" s="328">
        <v>600</v>
      </c>
      <c r="H62" s="329">
        <v>70</v>
      </c>
    </row>
    <row r="63" spans="1:8" ht="48" hidden="1">
      <c r="A63" s="78" t="s">
        <v>154</v>
      </c>
      <c r="B63" s="392" t="s">
        <v>650</v>
      </c>
      <c r="C63" s="435" t="s">
        <v>649</v>
      </c>
      <c r="D63" s="999">
        <f>SUM(E63:H63)</f>
        <v>0</v>
      </c>
      <c r="E63" s="1020">
        <v>0</v>
      </c>
      <c r="F63" s="324">
        <v>0</v>
      </c>
      <c r="G63" s="324">
        <v>0</v>
      </c>
      <c r="H63" s="325">
        <v>0</v>
      </c>
    </row>
    <row r="64" spans="1:8" ht="28.5" hidden="1">
      <c r="A64" s="401" t="s">
        <v>154</v>
      </c>
      <c r="B64" s="385" t="s">
        <v>117</v>
      </c>
      <c r="C64" s="430" t="s">
        <v>118</v>
      </c>
      <c r="D64" s="996">
        <f>D65+D68</f>
        <v>0</v>
      </c>
      <c r="E64" s="1017">
        <f>E65</f>
        <v>0</v>
      </c>
      <c r="F64" s="391">
        <f>F65</f>
        <v>0</v>
      </c>
      <c r="G64" s="391">
        <f>G65</f>
        <v>0</v>
      </c>
      <c r="H64" s="407">
        <f>H65</f>
        <v>0</v>
      </c>
    </row>
    <row r="65" spans="1:8" ht="60" hidden="1">
      <c r="A65" s="404" t="s">
        <v>591</v>
      </c>
      <c r="B65" s="387" t="s">
        <v>119</v>
      </c>
      <c r="C65" s="434" t="s">
        <v>303</v>
      </c>
      <c r="D65" s="997">
        <f>SUM(D66:D67)</f>
        <v>0</v>
      </c>
      <c r="E65" s="1018">
        <f>SUM(E66:E67)</f>
        <v>0</v>
      </c>
      <c r="F65" s="326">
        <f>SUM(F66:F67)</f>
        <v>0</v>
      </c>
      <c r="G65" s="326">
        <f>SUM(G66:G67)</f>
        <v>0</v>
      </c>
      <c r="H65" s="327">
        <f>SUM(H66:H67)</f>
        <v>0</v>
      </c>
    </row>
    <row r="66" spans="1:8" ht="102" hidden="1">
      <c r="A66" s="63" t="s">
        <v>591</v>
      </c>
      <c r="B66" s="388" t="s">
        <v>120</v>
      </c>
      <c r="C66" s="432" t="s">
        <v>623</v>
      </c>
      <c r="D66" s="998">
        <f>SUM(E66:H66)</f>
        <v>0</v>
      </c>
      <c r="E66" s="1022">
        <v>0</v>
      </c>
      <c r="F66" s="330">
        <v>0</v>
      </c>
      <c r="G66" s="330">
        <v>0</v>
      </c>
      <c r="H66" s="331">
        <v>0</v>
      </c>
    </row>
    <row r="67" spans="1:8" ht="102" hidden="1">
      <c r="A67" s="63" t="s">
        <v>591</v>
      </c>
      <c r="B67" s="388" t="s">
        <v>121</v>
      </c>
      <c r="C67" s="432" t="s">
        <v>346</v>
      </c>
      <c r="D67" s="998">
        <f>SUM(E67:H67)</f>
        <v>0</v>
      </c>
      <c r="E67" s="1022">
        <v>0</v>
      </c>
      <c r="F67" s="330">
        <v>0</v>
      </c>
      <c r="G67" s="330">
        <v>0</v>
      </c>
      <c r="H67" s="331">
        <v>0</v>
      </c>
    </row>
    <row r="68" spans="1:8" ht="12.75" hidden="1">
      <c r="A68" s="404" t="s">
        <v>591</v>
      </c>
      <c r="B68" s="387" t="s">
        <v>215</v>
      </c>
      <c r="C68" s="434" t="s">
        <v>216</v>
      </c>
      <c r="D68" s="999">
        <f>D69</f>
        <v>0</v>
      </c>
      <c r="E68" s="1021">
        <f>E69</f>
        <v>0</v>
      </c>
      <c r="F68" s="328">
        <f>F69</f>
        <v>0</v>
      </c>
      <c r="G68" s="328">
        <f>G69</f>
        <v>0</v>
      </c>
      <c r="H68" s="329">
        <f>H69</f>
        <v>0</v>
      </c>
    </row>
    <row r="69" spans="1:8" ht="51" hidden="1">
      <c r="A69" s="63" t="s">
        <v>591</v>
      </c>
      <c r="B69" s="388" t="s">
        <v>217</v>
      </c>
      <c r="C69" s="432" t="s">
        <v>304</v>
      </c>
      <c r="D69" s="998">
        <f>SUM(E69:H69)</f>
        <v>0</v>
      </c>
      <c r="E69" s="1022">
        <v>0</v>
      </c>
      <c r="F69" s="330">
        <v>0</v>
      </c>
      <c r="G69" s="330">
        <v>0</v>
      </c>
      <c r="H69" s="331">
        <v>0</v>
      </c>
    </row>
    <row r="70" spans="1:8" ht="15.75" customHeight="1">
      <c r="A70" s="401" t="s">
        <v>154</v>
      </c>
      <c r="B70" s="385" t="s">
        <v>597</v>
      </c>
      <c r="C70" s="436" t="s">
        <v>275</v>
      </c>
      <c r="D70" s="993">
        <f aca="true" t="shared" si="4" ref="D70:D85">SUM(E70:H70)</f>
        <v>1726.8</v>
      </c>
      <c r="E70" s="1012">
        <f>E71+E72+E74+E76+E78</f>
        <v>473</v>
      </c>
      <c r="F70" s="383">
        <f>F71+F72+F74+F76+F78</f>
        <v>462.8</v>
      </c>
      <c r="G70" s="383">
        <f>G71+G72+G74+G76+G78</f>
        <v>428</v>
      </c>
      <c r="H70" s="402">
        <f>H71+H72+H74+H76+H78</f>
        <v>363</v>
      </c>
    </row>
    <row r="71" spans="1:8" ht="52.5" customHeight="1">
      <c r="A71" s="68" t="s">
        <v>155</v>
      </c>
      <c r="B71" s="384" t="s">
        <v>598</v>
      </c>
      <c r="C71" s="437" t="s">
        <v>915</v>
      </c>
      <c r="D71" s="990">
        <f t="shared" si="4"/>
        <v>277</v>
      </c>
      <c r="E71" s="1740">
        <v>113</v>
      </c>
      <c r="F71" s="1741">
        <v>86</v>
      </c>
      <c r="G71" s="1741">
        <v>70</v>
      </c>
      <c r="H71" s="1742">
        <v>8</v>
      </c>
    </row>
    <row r="72" spans="1:8" ht="24" hidden="1">
      <c r="A72" s="68" t="s">
        <v>154</v>
      </c>
      <c r="B72" s="384" t="s">
        <v>202</v>
      </c>
      <c r="C72" s="437" t="s">
        <v>203</v>
      </c>
      <c r="D72" s="990">
        <f t="shared" si="4"/>
        <v>0</v>
      </c>
      <c r="E72" s="1007">
        <f>E73</f>
        <v>0</v>
      </c>
      <c r="F72" s="332">
        <f>F73</f>
        <v>0</v>
      </c>
      <c r="G72" s="332">
        <f>G73</f>
        <v>0</v>
      </c>
      <c r="H72" s="333">
        <f>H73</f>
        <v>0</v>
      </c>
    </row>
    <row r="73" spans="1:8" ht="51" hidden="1">
      <c r="A73" s="1743" t="s">
        <v>154</v>
      </c>
      <c r="B73" s="1685" t="s">
        <v>204</v>
      </c>
      <c r="C73" s="1694" t="s">
        <v>305</v>
      </c>
      <c r="D73" s="1687">
        <f t="shared" si="4"/>
        <v>0</v>
      </c>
      <c r="E73" s="1695">
        <v>0</v>
      </c>
      <c r="F73" s="1696">
        <v>0</v>
      </c>
      <c r="G73" s="1696">
        <v>0</v>
      </c>
      <c r="H73" s="1744">
        <v>0</v>
      </c>
    </row>
    <row r="74" spans="1:8" ht="38.25" hidden="1">
      <c r="A74" s="1684" t="s">
        <v>154</v>
      </c>
      <c r="B74" s="1685" t="s">
        <v>205</v>
      </c>
      <c r="C74" s="1694" t="s">
        <v>206</v>
      </c>
      <c r="D74" s="1687">
        <f>SUM(E74:H74)</f>
        <v>0</v>
      </c>
      <c r="E74" s="1695">
        <f>E75</f>
        <v>0</v>
      </c>
      <c r="F74" s="1696">
        <f>F75</f>
        <v>0</v>
      </c>
      <c r="G74" s="1696">
        <f>G75</f>
        <v>0</v>
      </c>
      <c r="H74" s="1696">
        <f>H75</f>
        <v>0</v>
      </c>
    </row>
    <row r="75" spans="1:8" ht="53.25" customHeight="1" hidden="1">
      <c r="A75" s="2112" t="s">
        <v>1013</v>
      </c>
      <c r="B75" s="2113" t="s">
        <v>306</v>
      </c>
      <c r="C75" s="2119" t="s">
        <v>1353</v>
      </c>
      <c r="D75" s="2115">
        <f>SUM(E75:H75)</f>
        <v>0</v>
      </c>
      <c r="E75" s="2116">
        <v>0</v>
      </c>
      <c r="F75" s="2117">
        <v>0</v>
      </c>
      <c r="G75" s="2117">
        <f>1-1</f>
        <v>0</v>
      </c>
      <c r="H75" s="2118">
        <v>0</v>
      </c>
    </row>
    <row r="76" spans="1:8" ht="55.5" customHeight="1">
      <c r="A76" s="1745" t="s">
        <v>154</v>
      </c>
      <c r="B76" s="1685" t="s">
        <v>1391</v>
      </c>
      <c r="C76" s="1746" t="s">
        <v>1392</v>
      </c>
      <c r="D76" s="990">
        <f t="shared" si="4"/>
        <v>1</v>
      </c>
      <c r="E76" s="1007">
        <f>E77</f>
        <v>0</v>
      </c>
      <c r="F76" s="332">
        <f>F77</f>
        <v>0</v>
      </c>
      <c r="G76" s="332">
        <f>G77</f>
        <v>0</v>
      </c>
      <c r="H76" s="333">
        <f>H77</f>
        <v>1</v>
      </c>
    </row>
    <row r="77" spans="1:8" ht="67.5" customHeight="1">
      <c r="A77" s="2112" t="s">
        <v>1401</v>
      </c>
      <c r="B77" s="2113" t="s">
        <v>1156</v>
      </c>
      <c r="C77" s="2114" t="s">
        <v>1361</v>
      </c>
      <c r="D77" s="2115">
        <f t="shared" si="4"/>
        <v>1</v>
      </c>
      <c r="E77" s="2116">
        <v>0</v>
      </c>
      <c r="F77" s="2117">
        <v>0</v>
      </c>
      <c r="G77" s="2117">
        <v>0</v>
      </c>
      <c r="H77" s="2118">
        <v>1</v>
      </c>
    </row>
    <row r="78" spans="1:8" ht="30.75" customHeight="1">
      <c r="A78" s="1684" t="s">
        <v>154</v>
      </c>
      <c r="B78" s="1685" t="s">
        <v>207</v>
      </c>
      <c r="C78" s="1694" t="s">
        <v>278</v>
      </c>
      <c r="D78" s="1687">
        <f t="shared" si="4"/>
        <v>1448.8</v>
      </c>
      <c r="E78" s="1697">
        <f>E79</f>
        <v>360</v>
      </c>
      <c r="F78" s="1698">
        <f>F79</f>
        <v>376.8</v>
      </c>
      <c r="G78" s="1698">
        <f>G79</f>
        <v>358</v>
      </c>
      <c r="H78" s="1699">
        <f>H79</f>
        <v>354</v>
      </c>
    </row>
    <row r="79" spans="1:8" ht="54">
      <c r="A79" s="768" t="s">
        <v>154</v>
      </c>
      <c r="B79" s="769" t="s">
        <v>343</v>
      </c>
      <c r="C79" s="443" t="s">
        <v>1354</v>
      </c>
      <c r="D79" s="991">
        <f>SUM(D80:D85)</f>
        <v>1448.8</v>
      </c>
      <c r="E79" s="464">
        <f>SUM(E80:E85)</f>
        <v>360</v>
      </c>
      <c r="F79" s="464">
        <f>SUM(F80:F85)</f>
        <v>376.8</v>
      </c>
      <c r="G79" s="464">
        <f>SUM(G80:G85)</f>
        <v>358</v>
      </c>
      <c r="H79" s="464">
        <f>SUM(H80:H85)</f>
        <v>354</v>
      </c>
    </row>
    <row r="80" spans="1:9" ht="48">
      <c r="A80" s="83" t="s">
        <v>20</v>
      </c>
      <c r="B80" s="393" t="s">
        <v>312</v>
      </c>
      <c r="C80" s="439" t="s">
        <v>916</v>
      </c>
      <c r="D80" s="1002">
        <f t="shared" si="4"/>
        <v>1100</v>
      </c>
      <c r="E80" s="1010">
        <v>275</v>
      </c>
      <c r="F80" s="339">
        <v>275</v>
      </c>
      <c r="G80" s="339">
        <v>275</v>
      </c>
      <c r="H80" s="340">
        <v>275</v>
      </c>
      <c r="I80" s="834"/>
    </row>
    <row r="81" spans="1:9" ht="48">
      <c r="A81" s="83" t="s">
        <v>63</v>
      </c>
      <c r="B81" s="393" t="s">
        <v>312</v>
      </c>
      <c r="C81" s="439" t="s">
        <v>916</v>
      </c>
      <c r="D81" s="1002">
        <f t="shared" si="4"/>
        <v>84</v>
      </c>
      <c r="E81" s="1010">
        <v>24</v>
      </c>
      <c r="F81" s="339">
        <v>20</v>
      </c>
      <c r="G81" s="339">
        <v>20</v>
      </c>
      <c r="H81" s="340">
        <v>20</v>
      </c>
      <c r="I81" s="834"/>
    </row>
    <row r="82" spans="1:8" ht="48">
      <c r="A82" s="83" t="s">
        <v>64</v>
      </c>
      <c r="B82" s="393" t="s">
        <v>312</v>
      </c>
      <c r="C82" s="439" t="s">
        <v>916</v>
      </c>
      <c r="D82" s="1002">
        <f t="shared" si="4"/>
        <v>10</v>
      </c>
      <c r="E82" s="1010">
        <v>0</v>
      </c>
      <c r="F82" s="339">
        <v>10</v>
      </c>
      <c r="G82" s="339">
        <v>0</v>
      </c>
      <c r="H82" s="340">
        <v>0</v>
      </c>
    </row>
    <row r="83" spans="1:8" ht="48" hidden="1">
      <c r="A83" s="83" t="s">
        <v>65</v>
      </c>
      <c r="B83" s="393" t="s">
        <v>312</v>
      </c>
      <c r="C83" s="439" t="s">
        <v>916</v>
      </c>
      <c r="D83" s="1002">
        <f t="shared" si="4"/>
        <v>0</v>
      </c>
      <c r="E83" s="1010">
        <v>0</v>
      </c>
      <c r="F83" s="339">
        <f>1-1</f>
        <v>0</v>
      </c>
      <c r="G83" s="339">
        <v>0</v>
      </c>
      <c r="H83" s="340">
        <v>0</v>
      </c>
    </row>
    <row r="84" spans="1:9" ht="48">
      <c r="A84" s="83" t="s">
        <v>813</v>
      </c>
      <c r="B84" s="393" t="s">
        <v>312</v>
      </c>
      <c r="C84" s="439" t="s">
        <v>916</v>
      </c>
      <c r="D84" s="1002">
        <f>SUM(E84:H84)</f>
        <v>218</v>
      </c>
      <c r="E84" s="1010">
        <v>54</v>
      </c>
      <c r="F84" s="339">
        <f>54+1</f>
        <v>55</v>
      </c>
      <c r="G84" s="339">
        <f>54+1</f>
        <v>55</v>
      </c>
      <c r="H84" s="340">
        <v>54</v>
      </c>
      <c r="I84" s="834"/>
    </row>
    <row r="85" spans="1:9" ht="51" customHeight="1">
      <c r="A85" s="83" t="s">
        <v>813</v>
      </c>
      <c r="B85" s="393" t="s">
        <v>314</v>
      </c>
      <c r="C85" s="439" t="s">
        <v>914</v>
      </c>
      <c r="D85" s="1002">
        <f t="shared" si="4"/>
        <v>36.8</v>
      </c>
      <c r="E85" s="1010">
        <v>7</v>
      </c>
      <c r="F85" s="339">
        <v>16.8</v>
      </c>
      <c r="G85" s="339">
        <v>8</v>
      </c>
      <c r="H85" s="340">
        <v>5</v>
      </c>
      <c r="I85" s="834"/>
    </row>
    <row r="86" spans="1:8" ht="28.5" hidden="1">
      <c r="A86" s="401" t="s">
        <v>154</v>
      </c>
      <c r="B86" s="385" t="s">
        <v>811</v>
      </c>
      <c r="C86" s="430" t="s">
        <v>812</v>
      </c>
      <c r="D86" s="994">
        <f>D89</f>
        <v>0</v>
      </c>
      <c r="E86" s="1014">
        <f>E89</f>
        <v>0</v>
      </c>
      <c r="F86" s="386">
        <f>F89</f>
        <v>0</v>
      </c>
      <c r="G86" s="386">
        <f>G89</f>
        <v>0</v>
      </c>
      <c r="H86" s="403">
        <f>H89</f>
        <v>0</v>
      </c>
    </row>
    <row r="87" spans="1:8" ht="12.75" hidden="1">
      <c r="A87" s="404" t="s">
        <v>591</v>
      </c>
      <c r="B87" s="387" t="s">
        <v>618</v>
      </c>
      <c r="C87" s="434" t="s">
        <v>619</v>
      </c>
      <c r="D87" s="997">
        <f>D88</f>
        <v>0</v>
      </c>
      <c r="E87" s="1018">
        <f>E88</f>
        <v>0</v>
      </c>
      <c r="F87" s="326">
        <f>F88</f>
        <v>0</v>
      </c>
      <c r="G87" s="326">
        <f>G88</f>
        <v>0</v>
      </c>
      <c r="H87" s="327">
        <f>H88</f>
        <v>0</v>
      </c>
    </row>
    <row r="88" spans="1:8" ht="38.25" hidden="1">
      <c r="A88" s="63" t="s">
        <v>591</v>
      </c>
      <c r="B88" s="388" t="s">
        <v>620</v>
      </c>
      <c r="C88" s="432" t="s">
        <v>668</v>
      </c>
      <c r="D88" s="998">
        <f>SUM(E88:H88)</f>
        <v>0</v>
      </c>
      <c r="E88" s="1019">
        <v>0</v>
      </c>
      <c r="F88" s="322">
        <v>0</v>
      </c>
      <c r="G88" s="322">
        <v>0</v>
      </c>
      <c r="H88" s="323">
        <v>0</v>
      </c>
    </row>
    <row r="89" spans="1:8" ht="12.75" hidden="1">
      <c r="A89" s="68" t="s">
        <v>154</v>
      </c>
      <c r="B89" s="384" t="s">
        <v>809</v>
      </c>
      <c r="C89" s="437" t="s">
        <v>810</v>
      </c>
      <c r="D89" s="990">
        <f>SUM(E89:H89)</f>
        <v>0</v>
      </c>
      <c r="E89" s="1023">
        <f>E91</f>
        <v>0</v>
      </c>
      <c r="F89" s="336">
        <f>F91</f>
        <v>0</v>
      </c>
      <c r="G89" s="336">
        <f>G91</f>
        <v>0</v>
      </c>
      <c r="H89" s="337">
        <f>H91</f>
        <v>0</v>
      </c>
    </row>
    <row r="90" spans="1:8" ht="38.25" hidden="1">
      <c r="A90" s="64" t="s">
        <v>591</v>
      </c>
      <c r="B90" s="381" t="s">
        <v>345</v>
      </c>
      <c r="C90" s="438" t="s">
        <v>348</v>
      </c>
      <c r="D90" s="1001">
        <f>D91</f>
        <v>0</v>
      </c>
      <c r="E90" s="1024">
        <f>E91</f>
        <v>0</v>
      </c>
      <c r="F90" s="338">
        <f>F91</f>
        <v>0</v>
      </c>
      <c r="G90" s="338">
        <f>G91</f>
        <v>0</v>
      </c>
      <c r="H90" s="341">
        <f>H91</f>
        <v>0</v>
      </c>
    </row>
    <row r="91" spans="1:8" ht="24" hidden="1">
      <c r="A91" s="64" t="s">
        <v>591</v>
      </c>
      <c r="B91" s="393" t="s">
        <v>604</v>
      </c>
      <c r="C91" s="439" t="s">
        <v>349</v>
      </c>
      <c r="D91" s="1003">
        <f>SUM(E91:H91)</f>
        <v>0</v>
      </c>
      <c r="E91" s="1010">
        <v>0</v>
      </c>
      <c r="F91" s="339">
        <v>0</v>
      </c>
      <c r="G91" s="339">
        <v>0</v>
      </c>
      <c r="H91" s="340">
        <v>0</v>
      </c>
    </row>
    <row r="92" spans="1:8" ht="36" hidden="1">
      <c r="A92" s="408" t="s">
        <v>154</v>
      </c>
      <c r="B92" s="385" t="s">
        <v>800</v>
      </c>
      <c r="C92" s="430" t="s">
        <v>339</v>
      </c>
      <c r="D92" s="994">
        <f aca="true" t="shared" si="5" ref="D92:H93">D93</f>
        <v>0</v>
      </c>
      <c r="E92" s="1014">
        <f t="shared" si="5"/>
        <v>0</v>
      </c>
      <c r="F92" s="386">
        <f t="shared" si="5"/>
        <v>0</v>
      </c>
      <c r="G92" s="386">
        <f t="shared" si="5"/>
        <v>0</v>
      </c>
      <c r="H92" s="403">
        <f t="shared" si="5"/>
        <v>0</v>
      </c>
    </row>
    <row r="93" spans="1:8" ht="36" hidden="1">
      <c r="A93" s="409" t="s">
        <v>591</v>
      </c>
      <c r="B93" s="384" t="s">
        <v>340</v>
      </c>
      <c r="C93" s="437" t="s">
        <v>341</v>
      </c>
      <c r="D93" s="990">
        <f>D94</f>
        <v>0</v>
      </c>
      <c r="E93" s="1023">
        <f t="shared" si="5"/>
        <v>0</v>
      </c>
      <c r="F93" s="336">
        <f t="shared" si="5"/>
        <v>0</v>
      </c>
      <c r="G93" s="336">
        <f t="shared" si="5"/>
        <v>0</v>
      </c>
      <c r="H93" s="337">
        <f t="shared" si="5"/>
        <v>0</v>
      </c>
    </row>
    <row r="94" spans="1:8" ht="51" hidden="1">
      <c r="A94" s="19" t="s">
        <v>591</v>
      </c>
      <c r="B94" s="381" t="s">
        <v>511</v>
      </c>
      <c r="C94" s="438" t="s">
        <v>342</v>
      </c>
      <c r="D94" s="1001">
        <f>SUM(E94:H94)</f>
        <v>0</v>
      </c>
      <c r="E94" s="1015">
        <v>0</v>
      </c>
      <c r="F94" s="320">
        <v>0</v>
      </c>
      <c r="G94" s="320">
        <v>0</v>
      </c>
      <c r="H94" s="321">
        <v>0</v>
      </c>
    </row>
    <row r="95" spans="1:8" ht="37.5">
      <c r="A95" s="410" t="s">
        <v>154</v>
      </c>
      <c r="B95" s="394" t="s">
        <v>599</v>
      </c>
      <c r="C95" s="440" t="s">
        <v>279</v>
      </c>
      <c r="D95" s="1099">
        <f>D96</f>
        <v>15400.699999999999</v>
      </c>
      <c r="E95" s="1100">
        <f>E96</f>
        <v>4032.8680000000004</v>
      </c>
      <c r="F95" s="1101">
        <f>F96</f>
        <v>4138.652</v>
      </c>
      <c r="G95" s="1101">
        <f>G96</f>
        <v>3887.909</v>
      </c>
      <c r="H95" s="1102">
        <f>H96</f>
        <v>3341.271</v>
      </c>
    </row>
    <row r="96" spans="1:8" ht="28.5">
      <c r="A96" s="408" t="s">
        <v>152</v>
      </c>
      <c r="B96" s="385" t="s">
        <v>600</v>
      </c>
      <c r="C96" s="430" t="s">
        <v>350</v>
      </c>
      <c r="D96" s="996">
        <f>D97+D100</f>
        <v>15400.699999999999</v>
      </c>
      <c r="E96" s="347">
        <f>E97+E100</f>
        <v>4032.8680000000004</v>
      </c>
      <c r="F96" s="347">
        <f>F97+F100</f>
        <v>4138.652</v>
      </c>
      <c r="G96" s="347">
        <f>G97+G100</f>
        <v>3887.909</v>
      </c>
      <c r="H96" s="347">
        <f>H97+H100</f>
        <v>3341.271</v>
      </c>
    </row>
    <row r="97" spans="1:8" ht="25.5" hidden="1">
      <c r="A97" s="197" t="s">
        <v>154</v>
      </c>
      <c r="B97" s="395" t="s">
        <v>387</v>
      </c>
      <c r="C97" s="441" t="s">
        <v>388</v>
      </c>
      <c r="D97" s="1004">
        <f aca="true" t="shared" si="6" ref="D97:H98">D98</f>
        <v>0</v>
      </c>
      <c r="E97" s="1025">
        <f t="shared" si="6"/>
        <v>0</v>
      </c>
      <c r="F97" s="342">
        <f t="shared" si="6"/>
        <v>0</v>
      </c>
      <c r="G97" s="342">
        <f t="shared" si="6"/>
        <v>0</v>
      </c>
      <c r="H97" s="343">
        <f t="shared" si="6"/>
        <v>0</v>
      </c>
    </row>
    <row r="98" spans="1:8" ht="13.5" hidden="1">
      <c r="A98" s="184" t="s">
        <v>154</v>
      </c>
      <c r="B98" s="396" t="s">
        <v>383</v>
      </c>
      <c r="C98" s="442" t="s">
        <v>384</v>
      </c>
      <c r="D98" s="997">
        <f t="shared" si="6"/>
        <v>0</v>
      </c>
      <c r="E98" s="1018">
        <f t="shared" si="6"/>
        <v>0</v>
      </c>
      <c r="F98" s="326">
        <f t="shared" si="6"/>
        <v>0</v>
      </c>
      <c r="G98" s="326">
        <f t="shared" si="6"/>
        <v>0</v>
      </c>
      <c r="H98" s="327">
        <f t="shared" si="6"/>
        <v>0</v>
      </c>
    </row>
    <row r="99" spans="1:8" ht="36" hidden="1">
      <c r="A99" s="182" t="s">
        <v>591</v>
      </c>
      <c r="B99" s="381" t="s">
        <v>385</v>
      </c>
      <c r="C99" s="439" t="s">
        <v>386</v>
      </c>
      <c r="D99" s="1005">
        <f>SUM(E99:H99)</f>
        <v>0</v>
      </c>
      <c r="E99" s="1026">
        <v>0</v>
      </c>
      <c r="F99" s="345">
        <v>0</v>
      </c>
      <c r="G99" s="345">
        <v>0</v>
      </c>
      <c r="H99" s="346">
        <v>0</v>
      </c>
    </row>
    <row r="100" spans="1:8" ht="25.5">
      <c r="A100" s="183" t="s">
        <v>154</v>
      </c>
      <c r="B100" s="397" t="s">
        <v>351</v>
      </c>
      <c r="C100" s="436" t="s">
        <v>352</v>
      </c>
      <c r="D100" s="996">
        <f>D101+D105</f>
        <v>15400.699999999999</v>
      </c>
      <c r="E100" s="347">
        <f>E101+E105</f>
        <v>4032.8680000000004</v>
      </c>
      <c r="F100" s="347">
        <f>F101+F105</f>
        <v>4138.652</v>
      </c>
      <c r="G100" s="347">
        <f>G101+G105</f>
        <v>3887.909</v>
      </c>
      <c r="H100" s="347">
        <f>H101+H105</f>
        <v>3341.271</v>
      </c>
    </row>
    <row r="101" spans="1:8" ht="39" customHeight="1">
      <c r="A101" s="184" t="s">
        <v>154</v>
      </c>
      <c r="B101" s="398" t="s">
        <v>353</v>
      </c>
      <c r="C101" s="443" t="s">
        <v>554</v>
      </c>
      <c r="D101" s="1700">
        <f>D102</f>
        <v>3729.6</v>
      </c>
      <c r="E101" s="1701">
        <f>SUM(E103:E104)</f>
        <v>1090.968</v>
      </c>
      <c r="F101" s="1701">
        <f>SUM(F103:F104)</f>
        <v>1196.7519999999997</v>
      </c>
      <c r="G101" s="1701">
        <f>SUM(G103:G104)</f>
        <v>720.9090000000001</v>
      </c>
      <c r="H101" s="1701">
        <f>SUM(H103:H104)</f>
        <v>720.9710000000001</v>
      </c>
    </row>
    <row r="102" spans="1:8" ht="56.25" customHeight="1">
      <c r="A102" s="830" t="s">
        <v>154</v>
      </c>
      <c r="B102" s="398" t="s">
        <v>547</v>
      </c>
      <c r="C102" s="443" t="s">
        <v>1355</v>
      </c>
      <c r="D102" s="1700">
        <f>SUM(D103:D104)</f>
        <v>3729.6</v>
      </c>
      <c r="E102" s="1702">
        <f>SUM(E103:E104)</f>
        <v>1090.968</v>
      </c>
      <c r="F102" s="1703">
        <f>SUM(F103:F104)</f>
        <v>1196.7519999999997</v>
      </c>
      <c r="G102" s="1703">
        <f>SUM(G103:G104)</f>
        <v>720.9090000000001</v>
      </c>
      <c r="H102" s="1704">
        <f>SUM(H103:H104)</f>
        <v>720.9710000000001</v>
      </c>
    </row>
    <row r="103" spans="1:9" ht="63.75">
      <c r="A103" s="19" t="s">
        <v>591</v>
      </c>
      <c r="B103" s="399" t="s">
        <v>815</v>
      </c>
      <c r="C103" s="438" t="s">
        <v>39</v>
      </c>
      <c r="D103" s="1568">
        <f>SUM(E103:H103)</f>
        <v>3724</v>
      </c>
      <c r="E103" s="1569">
        <v>1090.968</v>
      </c>
      <c r="F103" s="1570">
        <f>1242.168-51.016</f>
        <v>1191.1519999999998</v>
      </c>
      <c r="G103" s="1570">
        <f>1090.968-370.059</f>
        <v>720.9090000000001</v>
      </c>
      <c r="H103" s="1571">
        <f>1090.968+0.028-370.025</f>
        <v>720.9710000000001</v>
      </c>
      <c r="I103" s="1064"/>
    </row>
    <row r="104" spans="1:8" ht="89.25">
      <c r="A104" s="19" t="s">
        <v>591</v>
      </c>
      <c r="B104" s="399" t="s">
        <v>816</v>
      </c>
      <c r="C104" s="438" t="s">
        <v>40</v>
      </c>
      <c r="D104" s="1006">
        <f>SUM(E104:H104)</f>
        <v>5.6</v>
      </c>
      <c r="E104" s="1027">
        <f>5-5</f>
        <v>0</v>
      </c>
      <c r="F104" s="765">
        <v>5.6</v>
      </c>
      <c r="G104" s="765">
        <v>0</v>
      </c>
      <c r="H104" s="766">
        <v>0</v>
      </c>
    </row>
    <row r="105" spans="1:8" ht="54">
      <c r="A105" s="197" t="s">
        <v>154</v>
      </c>
      <c r="B105" s="767" t="s">
        <v>711</v>
      </c>
      <c r="C105" s="442" t="s">
        <v>546</v>
      </c>
      <c r="D105" s="1004">
        <f>SUM(E105:H105)</f>
        <v>11671.099999999999</v>
      </c>
      <c r="E105" s="1018">
        <f>E106</f>
        <v>2941.9</v>
      </c>
      <c r="F105" s="326">
        <f>F106</f>
        <v>2941.9</v>
      </c>
      <c r="G105" s="326">
        <f>G106</f>
        <v>3167</v>
      </c>
      <c r="H105" s="327">
        <f>H106</f>
        <v>2620.3</v>
      </c>
    </row>
    <row r="106" spans="1:8" ht="54" customHeight="1">
      <c r="A106" s="768" t="s">
        <v>154</v>
      </c>
      <c r="B106" s="829" t="s">
        <v>712</v>
      </c>
      <c r="C106" s="828" t="s">
        <v>1363</v>
      </c>
      <c r="D106" s="1564">
        <f>SUM(D107:D108)</f>
        <v>11671.1</v>
      </c>
      <c r="E106" s="1565">
        <f>SUM(E107:E108)</f>
        <v>2941.9</v>
      </c>
      <c r="F106" s="1566">
        <f>SUM(F107:F108)</f>
        <v>2941.9</v>
      </c>
      <c r="G106" s="1566">
        <f>SUM(G107:G108)</f>
        <v>3167</v>
      </c>
      <c r="H106" s="1567">
        <f>SUM(H107:H108)</f>
        <v>2620.3</v>
      </c>
    </row>
    <row r="107" spans="1:8" ht="41.25" customHeight="1">
      <c r="A107" s="182" t="s">
        <v>591</v>
      </c>
      <c r="B107" s="400" t="s">
        <v>422</v>
      </c>
      <c r="C107" s="439" t="s">
        <v>550</v>
      </c>
      <c r="D107" s="1556">
        <f>SUM(E107:H107)</f>
        <v>8777.5</v>
      </c>
      <c r="E107" s="1557">
        <v>2315</v>
      </c>
      <c r="F107" s="1558">
        <v>2314.9</v>
      </c>
      <c r="G107" s="1558">
        <f>2315</f>
        <v>2315</v>
      </c>
      <c r="H107" s="1559">
        <f>2314.9-482.3</f>
        <v>1832.6000000000001</v>
      </c>
    </row>
    <row r="108" spans="1:8" ht="36.75" thickBot="1">
      <c r="A108" s="556" t="s">
        <v>591</v>
      </c>
      <c r="B108" s="400" t="s">
        <v>423</v>
      </c>
      <c r="C108" s="439" t="s">
        <v>545</v>
      </c>
      <c r="D108" s="1560">
        <f>SUM(E108:H108)</f>
        <v>2893.6000000000004</v>
      </c>
      <c r="E108" s="1561">
        <v>626.9</v>
      </c>
      <c r="F108" s="1562">
        <v>627</v>
      </c>
      <c r="G108" s="1562">
        <f>626.9+225.1</f>
        <v>852</v>
      </c>
      <c r="H108" s="1563">
        <f>627+225-64.3</f>
        <v>787.7</v>
      </c>
    </row>
    <row r="109" spans="1:8" ht="19.5" thickBot="1">
      <c r="A109" s="552"/>
      <c r="B109" s="553"/>
      <c r="C109" s="554" t="s">
        <v>566</v>
      </c>
      <c r="D109" s="555">
        <f>SUM(E109:H109)</f>
        <v>121000</v>
      </c>
      <c r="E109" s="449">
        <f>E26+E95</f>
        <v>20818.868000000002</v>
      </c>
      <c r="F109" s="416">
        <f>F26+F95</f>
        <v>28765.451999999997</v>
      </c>
      <c r="G109" s="416">
        <f>G26+G95</f>
        <v>36784.909</v>
      </c>
      <c r="H109" s="417">
        <f>H26+H95</f>
        <v>34630.771</v>
      </c>
    </row>
    <row r="110" spans="1:8" ht="24.75" thickBot="1">
      <c r="A110" s="412" t="s">
        <v>591</v>
      </c>
      <c r="B110" s="413" t="s">
        <v>754</v>
      </c>
      <c r="C110" s="444" t="s">
        <v>734</v>
      </c>
      <c r="D110" s="457">
        <f>SUM(E110:H110)</f>
        <v>0</v>
      </c>
      <c r="E110" s="450">
        <f>-E111</f>
        <v>-2927.1200000000026</v>
      </c>
      <c r="F110" s="414">
        <f>-F111</f>
        <v>-6636.129000000001</v>
      </c>
      <c r="G110" s="414">
        <f>-G111</f>
        <v>-666.6820000000007</v>
      </c>
      <c r="H110" s="415">
        <f>-H111</f>
        <v>10229.931000000004</v>
      </c>
    </row>
    <row r="111" spans="1:9" ht="13.5" customHeight="1">
      <c r="A111" s="418" t="s">
        <v>591</v>
      </c>
      <c r="B111" s="419" t="s">
        <v>567</v>
      </c>
      <c r="C111" s="445" t="s">
        <v>799</v>
      </c>
      <c r="D111" s="458">
        <f>SUM(E111:H111)</f>
        <v>0</v>
      </c>
      <c r="E111" s="451">
        <f>E112-E116</f>
        <v>2927.1200000000026</v>
      </c>
      <c r="F111" s="420">
        <f>F112-F116</f>
        <v>6636.129000000001</v>
      </c>
      <c r="G111" s="420">
        <f>G112-G116</f>
        <v>666.6820000000007</v>
      </c>
      <c r="H111" s="421">
        <f>H112-H116</f>
        <v>-10229.931000000004</v>
      </c>
      <c r="I111" s="833"/>
    </row>
    <row r="112" spans="1:8" ht="12.75">
      <c r="A112" s="78" t="s">
        <v>591</v>
      </c>
      <c r="B112" s="358" t="s">
        <v>568</v>
      </c>
      <c r="C112" s="446" t="s">
        <v>208</v>
      </c>
      <c r="D112" s="344">
        <f aca="true" t="shared" si="7" ref="D112:H114">D113</f>
        <v>121000</v>
      </c>
      <c r="E112" s="452">
        <f t="shared" si="7"/>
        <v>20818.868000000002</v>
      </c>
      <c r="F112" s="353">
        <f t="shared" si="7"/>
        <v>28765.451999999997</v>
      </c>
      <c r="G112" s="353">
        <f t="shared" si="7"/>
        <v>36784.909</v>
      </c>
      <c r="H112" s="422">
        <f t="shared" si="7"/>
        <v>34630.771</v>
      </c>
    </row>
    <row r="113" spans="1:8" ht="12.75">
      <c r="A113" s="182" t="s">
        <v>591</v>
      </c>
      <c r="B113" s="354" t="s">
        <v>569</v>
      </c>
      <c r="C113" s="39" t="s">
        <v>697</v>
      </c>
      <c r="D113" s="459">
        <f t="shared" si="7"/>
        <v>121000</v>
      </c>
      <c r="E113" s="453">
        <f t="shared" si="7"/>
        <v>20818.868000000002</v>
      </c>
      <c r="F113" s="355">
        <f t="shared" si="7"/>
        <v>28765.451999999997</v>
      </c>
      <c r="G113" s="355">
        <f t="shared" si="7"/>
        <v>36784.909</v>
      </c>
      <c r="H113" s="423">
        <f t="shared" si="7"/>
        <v>34630.771</v>
      </c>
    </row>
    <row r="114" spans="1:8" ht="12.75">
      <c r="A114" s="182" t="s">
        <v>591</v>
      </c>
      <c r="B114" s="354" t="s">
        <v>570</v>
      </c>
      <c r="C114" s="39" t="s">
        <v>699</v>
      </c>
      <c r="D114" s="459">
        <f t="shared" si="7"/>
        <v>121000</v>
      </c>
      <c r="E114" s="453">
        <f t="shared" si="7"/>
        <v>20818.868000000002</v>
      </c>
      <c r="F114" s="355">
        <f t="shared" si="7"/>
        <v>28765.451999999997</v>
      </c>
      <c r="G114" s="355">
        <f t="shared" si="7"/>
        <v>36784.909</v>
      </c>
      <c r="H114" s="423">
        <f t="shared" si="7"/>
        <v>34630.771</v>
      </c>
    </row>
    <row r="115" spans="1:9" ht="37.5" customHeight="1">
      <c r="A115" s="182" t="s">
        <v>591</v>
      </c>
      <c r="B115" s="354" t="s">
        <v>571</v>
      </c>
      <c r="C115" s="39" t="s">
        <v>1359</v>
      </c>
      <c r="D115" s="459">
        <f>SUM(E115:H115)</f>
        <v>121000</v>
      </c>
      <c r="E115" s="454">
        <f>E109</f>
        <v>20818.868000000002</v>
      </c>
      <c r="F115" s="356">
        <f>F109</f>
        <v>28765.451999999997</v>
      </c>
      <c r="G115" s="356">
        <f>G109</f>
        <v>36784.909</v>
      </c>
      <c r="H115" s="424">
        <f>H109</f>
        <v>34630.771</v>
      </c>
      <c r="I115" s="833"/>
    </row>
    <row r="116" spans="1:8" ht="12.75">
      <c r="A116" s="78" t="s">
        <v>591</v>
      </c>
      <c r="B116" s="358" t="s">
        <v>572</v>
      </c>
      <c r="C116" s="447" t="s">
        <v>488</v>
      </c>
      <c r="D116" s="344">
        <f aca="true" t="shared" si="8" ref="D116:H118">D117</f>
        <v>121000</v>
      </c>
      <c r="E116" s="452">
        <f t="shared" si="8"/>
        <v>17891.748</v>
      </c>
      <c r="F116" s="353">
        <f t="shared" si="8"/>
        <v>22129.322999999997</v>
      </c>
      <c r="G116" s="353">
        <f t="shared" si="8"/>
        <v>36118.227</v>
      </c>
      <c r="H116" s="422">
        <f t="shared" si="8"/>
        <v>44860.702000000005</v>
      </c>
    </row>
    <row r="117" spans="1:8" ht="12.75">
      <c r="A117" s="182" t="s">
        <v>591</v>
      </c>
      <c r="B117" s="354" t="s">
        <v>573</v>
      </c>
      <c r="C117" s="39" t="s">
        <v>729</v>
      </c>
      <c r="D117" s="459">
        <f t="shared" si="8"/>
        <v>121000</v>
      </c>
      <c r="E117" s="453">
        <f t="shared" si="8"/>
        <v>17891.748</v>
      </c>
      <c r="F117" s="355">
        <f t="shared" si="8"/>
        <v>22129.322999999997</v>
      </c>
      <c r="G117" s="355">
        <f t="shared" si="8"/>
        <v>36118.227</v>
      </c>
      <c r="H117" s="423">
        <f t="shared" si="8"/>
        <v>44860.702000000005</v>
      </c>
    </row>
    <row r="118" spans="1:8" ht="12.75">
      <c r="A118" s="182" t="s">
        <v>591</v>
      </c>
      <c r="B118" s="357" t="s">
        <v>574</v>
      </c>
      <c r="C118" s="39" t="s">
        <v>730</v>
      </c>
      <c r="D118" s="459">
        <f t="shared" si="8"/>
        <v>121000</v>
      </c>
      <c r="E118" s="453">
        <f t="shared" si="8"/>
        <v>17891.748</v>
      </c>
      <c r="F118" s="355">
        <f t="shared" si="8"/>
        <v>22129.322999999997</v>
      </c>
      <c r="G118" s="355">
        <f t="shared" si="8"/>
        <v>36118.227</v>
      </c>
      <c r="H118" s="423">
        <f t="shared" si="8"/>
        <v>44860.702000000005</v>
      </c>
    </row>
    <row r="119" spans="1:9" ht="36" customHeight="1" thickBot="1">
      <c r="A119" s="411" t="s">
        <v>591</v>
      </c>
      <c r="B119" s="378" t="s">
        <v>575</v>
      </c>
      <c r="C119" s="40" t="s">
        <v>1360</v>
      </c>
      <c r="D119" s="460">
        <f>SUM(E119:H119)</f>
        <v>121000</v>
      </c>
      <c r="E119" s="455">
        <f>'Бюд.р.'!I604</f>
        <v>17891.748</v>
      </c>
      <c r="F119" s="379">
        <f>'Бюд.р.'!J604</f>
        <v>22129.322999999997</v>
      </c>
      <c r="G119" s="379">
        <f>'Бюд.р.'!K604</f>
        <v>36118.227</v>
      </c>
      <c r="H119" s="425">
        <f>'Бюд.р.'!L604</f>
        <v>44860.702000000005</v>
      </c>
      <c r="I119" s="833"/>
    </row>
    <row r="120" spans="1:9" ht="16.5" thickBot="1">
      <c r="A120" s="88"/>
      <c r="B120" s="36"/>
      <c r="C120" s="448" t="s">
        <v>769</v>
      </c>
      <c r="D120" s="466">
        <f>SUM(D109:D110)</f>
        <v>121000</v>
      </c>
      <c r="E120" s="456">
        <f>SUM(E109:E110)</f>
        <v>17891.748</v>
      </c>
      <c r="F120" s="380">
        <f>SUM(F109:F110)</f>
        <v>22129.322999999997</v>
      </c>
      <c r="G120" s="380">
        <f>SUM(G109:G110)</f>
        <v>36118.227</v>
      </c>
      <c r="H120" s="380">
        <f>SUM(H109:H110)</f>
        <v>44860.702000000005</v>
      </c>
      <c r="I120" s="833"/>
    </row>
    <row r="121" spans="1:2" ht="14.25">
      <c r="A121" s="15"/>
      <c r="B121" s="15"/>
    </row>
    <row r="122" spans="1:8" ht="12.75">
      <c r="A122" s="359"/>
      <c r="B122" s="3180" t="s">
        <v>334</v>
      </c>
      <c r="C122" s="3180"/>
      <c r="F122" s="3099" t="s">
        <v>1261</v>
      </c>
      <c r="G122" s="3099"/>
      <c r="H122" s="3099"/>
    </row>
    <row r="123" spans="1:8" ht="12.75">
      <c r="A123" s="359"/>
      <c r="B123" s="359"/>
      <c r="C123" s="359"/>
      <c r="F123" s="3099"/>
      <c r="G123" s="3099"/>
      <c r="H123" s="3099"/>
    </row>
    <row r="124" spans="1:8" ht="12.75">
      <c r="A124" s="359"/>
      <c r="B124" s="3180" t="s">
        <v>335</v>
      </c>
      <c r="C124" s="3180"/>
      <c r="F124" s="3099" t="s">
        <v>1229</v>
      </c>
      <c r="G124" s="3099"/>
      <c r="H124" s="3099"/>
    </row>
  </sheetData>
  <sheetProtection/>
  <mergeCells count="34">
    <mergeCell ref="C1:H1"/>
    <mergeCell ref="C2:H2"/>
    <mergeCell ref="C3:H3"/>
    <mergeCell ref="C6:H6"/>
    <mergeCell ref="C9:H9"/>
    <mergeCell ref="C4:H4"/>
    <mergeCell ref="C5:H5"/>
    <mergeCell ref="B124:C124"/>
    <mergeCell ref="B122:C122"/>
    <mergeCell ref="F24:F25"/>
    <mergeCell ref="F124:H124"/>
    <mergeCell ref="C24:C25"/>
    <mergeCell ref="C12:H12"/>
    <mergeCell ref="F123:H123"/>
    <mergeCell ref="E24:E25"/>
    <mergeCell ref="A24:B24"/>
    <mergeCell ref="A21:H21"/>
    <mergeCell ref="C10:H10"/>
    <mergeCell ref="C15:H15"/>
    <mergeCell ref="C14:H14"/>
    <mergeCell ref="C7:H7"/>
    <mergeCell ref="C16:H16"/>
    <mergeCell ref="C13:H13"/>
    <mergeCell ref="C11:H11"/>
    <mergeCell ref="C8:H8"/>
    <mergeCell ref="H24:H25"/>
    <mergeCell ref="F122:H122"/>
    <mergeCell ref="A20:H20"/>
    <mergeCell ref="A22:H22"/>
    <mergeCell ref="C17:H17"/>
    <mergeCell ref="C18:H18"/>
    <mergeCell ref="G24:G25"/>
    <mergeCell ref="A23:H23"/>
    <mergeCell ref="C19:H19"/>
  </mergeCells>
  <printOptions/>
  <pageMargins left="0.75" right="0.4" top="0.64" bottom="0.58" header="0.43" footer="0.3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5"/>
  <sheetViews>
    <sheetView zoomScale="80" zoomScaleNormal="80" zoomScalePageLayoutView="0" workbookViewId="0" topLeftCell="A16">
      <selection activeCell="G8" sqref="G8:H8"/>
    </sheetView>
  </sheetViews>
  <sheetFormatPr defaultColWidth="9.00390625" defaultRowHeight="12.75"/>
  <cols>
    <col min="1" max="1" width="66.375" style="0" customWidth="1"/>
    <col min="4" max="4" width="10.875" style="0" bestFit="1" customWidth="1"/>
    <col min="6" max="6" width="9.625" style="0" customWidth="1"/>
    <col min="7" max="7" width="9.125" style="0" customWidth="1"/>
    <col min="8" max="8" width="9.875" style="0" customWidth="1"/>
  </cols>
  <sheetData>
    <row r="1" spans="4:8" ht="12.75">
      <c r="D1" s="3100" t="s">
        <v>790</v>
      </c>
      <c r="E1" s="3100"/>
      <c r="F1" s="3100"/>
      <c r="G1" s="3100"/>
      <c r="H1" s="3100"/>
    </row>
    <row r="2" spans="1:8" ht="12.75">
      <c r="A2" s="3100" t="s">
        <v>795</v>
      </c>
      <c r="B2" s="3100"/>
      <c r="C2" s="3100"/>
      <c r="D2" s="3100"/>
      <c r="E2" s="3100"/>
      <c r="F2" s="3100"/>
      <c r="G2" s="3100"/>
      <c r="H2" s="3100"/>
    </row>
    <row r="3" spans="3:7" ht="12.75">
      <c r="C3" t="s">
        <v>794</v>
      </c>
      <c r="D3" s="789">
        <v>1</v>
      </c>
      <c r="E3">
        <v>4</v>
      </c>
      <c r="F3">
        <v>69</v>
      </c>
      <c r="G3" t="s">
        <v>74</v>
      </c>
    </row>
    <row r="5" spans="1:8" ht="12.75">
      <c r="A5" s="3206" t="s">
        <v>75</v>
      </c>
      <c r="B5" s="3206"/>
      <c r="C5" s="3206"/>
      <c r="D5" s="3206"/>
      <c r="E5" s="3206"/>
      <c r="F5" s="3206"/>
      <c r="G5" s="3206"/>
      <c r="H5" s="3206"/>
    </row>
    <row r="6" spans="1:8" ht="12.75">
      <c r="A6" s="3206" t="s">
        <v>796</v>
      </c>
      <c r="B6" s="3206"/>
      <c r="C6" s="3206"/>
      <c r="D6" s="3206"/>
      <c r="E6" s="3206"/>
      <c r="F6" s="3206"/>
      <c r="G6" s="3206"/>
      <c r="H6" s="3206"/>
    </row>
    <row r="7" spans="1:8" ht="12.75">
      <c r="A7" s="783" t="s">
        <v>76</v>
      </c>
      <c r="B7" s="783"/>
      <c r="C7" s="783"/>
      <c r="D7" s="783"/>
      <c r="E7" s="783"/>
      <c r="F7" s="783"/>
      <c r="G7" s="783"/>
      <c r="H7" s="783"/>
    </row>
    <row r="8" spans="1:8" ht="57" customHeight="1">
      <c r="A8" s="3103" t="s">
        <v>593</v>
      </c>
      <c r="B8" s="3207" t="s">
        <v>594</v>
      </c>
      <c r="C8" s="3208"/>
      <c r="D8" s="3207" t="s">
        <v>595</v>
      </c>
      <c r="E8" s="3208"/>
      <c r="F8" s="97" t="s">
        <v>596</v>
      </c>
      <c r="G8" s="3207" t="s">
        <v>158</v>
      </c>
      <c r="H8" s="3208"/>
    </row>
    <row r="9" spans="1:8" ht="12.75">
      <c r="A9" s="3104"/>
      <c r="B9" s="3204">
        <v>2008</v>
      </c>
      <c r="C9" s="3205"/>
      <c r="D9" s="3204">
        <v>2009</v>
      </c>
      <c r="E9" s="3205"/>
      <c r="F9" s="647">
        <v>2010</v>
      </c>
      <c r="G9" s="647">
        <v>2011</v>
      </c>
      <c r="H9" s="647">
        <v>2012</v>
      </c>
    </row>
    <row r="10" spans="1:8" ht="96.75" customHeight="1">
      <c r="A10" s="3105"/>
      <c r="B10" s="97" t="s">
        <v>160</v>
      </c>
      <c r="C10" s="97" t="s">
        <v>592</v>
      </c>
      <c r="D10" s="97" t="s">
        <v>77</v>
      </c>
      <c r="E10" s="97" t="s">
        <v>78</v>
      </c>
      <c r="F10" s="97" t="s">
        <v>79</v>
      </c>
      <c r="G10" s="97" t="s">
        <v>159</v>
      </c>
      <c r="H10" s="97" t="s">
        <v>159</v>
      </c>
    </row>
    <row r="11" spans="1:8" ht="12.75">
      <c r="A11" s="786" t="s">
        <v>786</v>
      </c>
      <c r="B11" s="786">
        <v>69354.7</v>
      </c>
      <c r="C11" s="786">
        <v>72613.7</v>
      </c>
      <c r="D11" s="786">
        <v>67410</v>
      </c>
      <c r="E11" s="786">
        <v>73909.5</v>
      </c>
      <c r="F11" s="786">
        <v>78900</v>
      </c>
      <c r="G11" s="786">
        <f>F11*1.07</f>
        <v>84423</v>
      </c>
      <c r="H11" s="786">
        <f>G11*1.07</f>
        <v>90332.61</v>
      </c>
    </row>
    <row r="12" spans="1:8" ht="12.75">
      <c r="A12" s="784" t="s">
        <v>787</v>
      </c>
      <c r="B12" s="784"/>
      <c r="C12" s="784"/>
      <c r="D12" s="784"/>
      <c r="E12" s="784"/>
      <c r="F12" s="784"/>
      <c r="G12" s="784"/>
      <c r="H12" s="784"/>
    </row>
    <row r="13" spans="1:8" ht="12.75">
      <c r="A13" s="784" t="s">
        <v>788</v>
      </c>
      <c r="B13" s="784">
        <v>51770.2</v>
      </c>
      <c r="C13" s="784">
        <v>55910.6</v>
      </c>
      <c r="D13" s="784">
        <v>54768.5</v>
      </c>
      <c r="E13" s="784">
        <v>63264</v>
      </c>
      <c r="F13" s="784">
        <f>'ДОХ.Пр.1'!E12+'ДОХ.Пр.1'!E27+'ДОХ.Пр.1'!E30</f>
        <v>102972.5</v>
      </c>
      <c r="G13" s="784">
        <f>F13*1.07</f>
        <v>110180.57500000001</v>
      </c>
      <c r="H13" s="784">
        <f>G13*1.07</f>
        <v>117893.21525000002</v>
      </c>
    </row>
    <row r="14" spans="1:8" ht="12.75">
      <c r="A14" s="784" t="s">
        <v>789</v>
      </c>
      <c r="B14" s="784">
        <v>5465.9</v>
      </c>
      <c r="C14" s="784">
        <v>5115.1</v>
      </c>
      <c r="D14" s="784">
        <v>3830</v>
      </c>
      <c r="E14" s="784">
        <v>1834</v>
      </c>
      <c r="F14" s="784">
        <f>'ДОХ.Пр.1'!E41+'ДОХ.Пр.1'!E52</f>
        <v>2626.8</v>
      </c>
      <c r="G14" s="784">
        <f>F14*1.07</f>
        <v>2810.6760000000004</v>
      </c>
      <c r="H14" s="784">
        <f>G14*1.07</f>
        <v>3007.423320000001</v>
      </c>
    </row>
    <row r="15" spans="1:8" ht="15.75" customHeight="1">
      <c r="A15" s="784" t="s">
        <v>560</v>
      </c>
      <c r="B15" s="784">
        <v>12118.6</v>
      </c>
      <c r="C15" s="784">
        <v>11588</v>
      </c>
      <c r="D15" s="784">
        <v>8811.5</v>
      </c>
      <c r="E15" s="784">
        <v>8811.5</v>
      </c>
      <c r="F15" s="784">
        <f>F17</f>
        <v>15400.7</v>
      </c>
      <c r="G15" s="784">
        <f>G17</f>
        <v>10732.9</v>
      </c>
      <c r="H15" s="784">
        <f>H17</f>
        <v>11614.199999999999</v>
      </c>
    </row>
    <row r="16" spans="1:8" ht="12.75">
      <c r="A16" s="784" t="s">
        <v>787</v>
      </c>
      <c r="B16" s="784"/>
      <c r="C16" s="784"/>
      <c r="D16" s="784"/>
      <c r="E16" s="784"/>
      <c r="F16" s="784"/>
      <c r="G16" s="784"/>
      <c r="H16" s="784"/>
    </row>
    <row r="17" spans="1:8" ht="25.5">
      <c r="A17" s="784" t="s">
        <v>80</v>
      </c>
      <c r="B17" s="784">
        <v>12118.6</v>
      </c>
      <c r="C17" s="784">
        <v>11588</v>
      </c>
      <c r="D17" s="784">
        <v>8811.5</v>
      </c>
      <c r="E17" s="784">
        <v>8811.5</v>
      </c>
      <c r="F17" s="784">
        <f>SUM(F18:F19)</f>
        <v>15400.7</v>
      </c>
      <c r="G17" s="784">
        <f>SUM(G18:G19)</f>
        <v>10732.9</v>
      </c>
      <c r="H17" s="784">
        <f>SUM(H18:H19)</f>
        <v>11614.199999999999</v>
      </c>
    </row>
    <row r="18" spans="1:8" ht="12.75">
      <c r="A18" s="784" t="s">
        <v>412</v>
      </c>
      <c r="B18" s="784">
        <v>5000</v>
      </c>
      <c r="C18" s="784">
        <v>5000</v>
      </c>
      <c r="D18" s="784">
        <v>0</v>
      </c>
      <c r="E18" s="784">
        <v>0</v>
      </c>
      <c r="F18" s="784">
        <v>0</v>
      </c>
      <c r="G18" s="784">
        <v>0</v>
      </c>
      <c r="H18" s="784">
        <v>0</v>
      </c>
    </row>
    <row r="19" spans="1:8" ht="13.5" customHeight="1">
      <c r="A19" s="784" t="s">
        <v>81</v>
      </c>
      <c r="B19" s="784">
        <v>7118.6</v>
      </c>
      <c r="C19" s="784">
        <v>6588</v>
      </c>
      <c r="D19" s="784">
        <v>8811.5</v>
      </c>
      <c r="E19" s="784">
        <v>8811.5</v>
      </c>
      <c r="F19" s="784">
        <f>'ДОХ.Пр.1'!E79</f>
        <v>15400.7</v>
      </c>
      <c r="G19" s="784">
        <f>3084.1+6992.6+591.4+64.8</f>
        <v>10732.9</v>
      </c>
      <c r="H19" s="784">
        <f>3430+7482.1+632.8+69.3</f>
        <v>11614.199999999999</v>
      </c>
    </row>
    <row r="20" spans="1:8" ht="12.75">
      <c r="A20" s="786" t="s">
        <v>564</v>
      </c>
      <c r="B20" s="786">
        <v>68801.6</v>
      </c>
      <c r="C20" s="786">
        <v>68193.9</v>
      </c>
      <c r="D20" s="786">
        <v>67410</v>
      </c>
      <c r="E20" s="786">
        <v>67410</v>
      </c>
      <c r="F20" s="786" t="e">
        <f>F21+F26+F27+F28+F29+F30+F31+F32</f>
        <v>#REF!</v>
      </c>
      <c r="G20" s="786" t="e">
        <f>G21+G26+G27+G28+G29+G30+G31+G32</f>
        <v>#REF!</v>
      </c>
      <c r="H20" s="786">
        <f>H21+H26+H27+H28+H29+H30+H31+H32</f>
        <v>64042.61163553882</v>
      </c>
    </row>
    <row r="21" spans="1:8" ht="12.75">
      <c r="A21" s="784" t="s">
        <v>565</v>
      </c>
      <c r="B21" s="784">
        <v>17254.6</v>
      </c>
      <c r="C21" s="784">
        <v>17179.5</v>
      </c>
      <c r="D21" s="784">
        <v>22500</v>
      </c>
      <c r="E21" s="784">
        <v>22500</v>
      </c>
      <c r="F21" s="784">
        <f>'ВЕД.СТ Пр.2.'!K21</f>
        <v>99.99026337568763</v>
      </c>
      <c r="G21" s="788">
        <f>F21*1.07-70.246</f>
        <v>36.74358181198578</v>
      </c>
      <c r="H21" s="784">
        <f>(G21*1.07+228.96)</f>
        <v>268.27563253882477</v>
      </c>
    </row>
    <row r="22" spans="1:8" ht="12.75">
      <c r="A22" s="784" t="s">
        <v>787</v>
      </c>
      <c r="B22" s="784"/>
      <c r="C22" s="784"/>
      <c r="D22" s="784"/>
      <c r="E22" s="784"/>
      <c r="F22" s="784"/>
      <c r="G22" s="788">
        <v>0</v>
      </c>
      <c r="H22" s="784">
        <v>0</v>
      </c>
    </row>
    <row r="23" spans="1:8" ht="13.5" customHeight="1">
      <c r="A23" s="785" t="s">
        <v>576</v>
      </c>
      <c r="B23" s="785">
        <v>16670.6</v>
      </c>
      <c r="C23" s="785">
        <v>16597</v>
      </c>
      <c r="D23" s="785">
        <v>19193</v>
      </c>
      <c r="E23" s="785">
        <v>19193</v>
      </c>
      <c r="F23" s="785" t="e">
        <f>'ВЕД.СТ Пр.2.'!K22+'ВЕД.СТ Пр.2.'!K25+'ВЕД.СТ Пр.2.'!#REF!</f>
        <v>#REF!</v>
      </c>
      <c r="G23" s="787" t="e">
        <f>F23*1.07</f>
        <v>#REF!</v>
      </c>
      <c r="H23" s="785" t="e">
        <f>G23*1.07</f>
        <v>#REF!</v>
      </c>
    </row>
    <row r="24" spans="1:8" ht="12.75">
      <c r="A24" s="785" t="s">
        <v>169</v>
      </c>
      <c r="B24" s="785">
        <v>0</v>
      </c>
      <c r="C24" s="785">
        <v>0</v>
      </c>
      <c r="D24" s="785">
        <v>0</v>
      </c>
      <c r="E24" s="785">
        <v>0</v>
      </c>
      <c r="F24" s="785">
        <v>0</v>
      </c>
      <c r="G24" s="785">
        <v>0</v>
      </c>
      <c r="H24" s="785">
        <v>0</v>
      </c>
    </row>
    <row r="25" spans="1:8" ht="12.75">
      <c r="A25" s="785" t="s">
        <v>577</v>
      </c>
      <c r="B25" s="785">
        <v>0</v>
      </c>
      <c r="C25" s="785">
        <v>0</v>
      </c>
      <c r="D25" s="785">
        <v>0</v>
      </c>
      <c r="E25" s="785">
        <v>0</v>
      </c>
      <c r="F25" s="787" t="e">
        <f>'ВЕД.СТ Пр.2.'!#REF!</f>
        <v>#REF!</v>
      </c>
      <c r="G25" s="787" t="e">
        <f>F25*1.07</f>
        <v>#REF!</v>
      </c>
      <c r="H25" s="787" t="e">
        <f>G25*1.07</f>
        <v>#REF!</v>
      </c>
    </row>
    <row r="26" spans="1:8" ht="17.25" customHeight="1">
      <c r="A26" s="784" t="s">
        <v>578</v>
      </c>
      <c r="B26" s="784">
        <v>693.1</v>
      </c>
      <c r="C26" s="784">
        <v>688.6</v>
      </c>
      <c r="D26" s="784">
        <v>853.6</v>
      </c>
      <c r="E26" s="784">
        <v>853.6</v>
      </c>
      <c r="F26" s="784" t="e">
        <f>'ВЕД.СТ Пр.2.'!#REF!</f>
        <v>#REF!</v>
      </c>
      <c r="G26" s="788" t="e">
        <f aca="true" t="shared" si="0" ref="G26:G31">F26*1.07</f>
        <v>#REF!</v>
      </c>
      <c r="H26" s="788">
        <v>1197.642108</v>
      </c>
    </row>
    <row r="27" spans="1:8" ht="12.75">
      <c r="A27" s="784" t="s">
        <v>579</v>
      </c>
      <c r="B27" s="784">
        <v>36674.3</v>
      </c>
      <c r="C27" s="784">
        <v>36673.8</v>
      </c>
      <c r="D27" s="784">
        <v>30458</v>
      </c>
      <c r="E27" s="784">
        <v>30458</v>
      </c>
      <c r="F27" s="784" t="e">
        <f>'ВЕД.СТ Пр.2.'!#REF!</f>
        <v>#REF!</v>
      </c>
      <c r="G27" s="788" t="e">
        <f t="shared" si="0"/>
        <v>#REF!</v>
      </c>
      <c r="H27" s="788">
        <v>42091.43562</v>
      </c>
    </row>
    <row r="28" spans="1:8" ht="12.75">
      <c r="A28" s="784" t="s">
        <v>580</v>
      </c>
      <c r="B28" s="784">
        <v>7.9</v>
      </c>
      <c r="C28" s="784">
        <v>7.9</v>
      </c>
      <c r="D28" s="784">
        <v>8.4</v>
      </c>
      <c r="E28" s="784">
        <v>8.4</v>
      </c>
      <c r="F28" s="784" t="e">
        <f>'ВЕД.СТ Пр.2.'!#REF!</f>
        <v>#REF!</v>
      </c>
      <c r="G28" s="784" t="e">
        <f t="shared" si="0"/>
        <v>#REF!</v>
      </c>
      <c r="H28" s="788">
        <v>17.1735</v>
      </c>
    </row>
    <row r="29" spans="1:8" ht="12.75">
      <c r="A29" s="784" t="s">
        <v>581</v>
      </c>
      <c r="B29" s="784">
        <v>2645</v>
      </c>
      <c r="C29" s="784">
        <v>2645</v>
      </c>
      <c r="D29" s="784">
        <v>2080</v>
      </c>
      <c r="E29" s="784">
        <v>2080</v>
      </c>
      <c r="F29" s="784" t="e">
        <f>'ВЕД.СТ Пр.2.'!#REF!</f>
        <v>#REF!</v>
      </c>
      <c r="G29" s="784" t="e">
        <f t="shared" si="0"/>
        <v>#REF!</v>
      </c>
      <c r="H29" s="788">
        <v>4435.3426</v>
      </c>
    </row>
    <row r="30" spans="1:8" ht="13.5" customHeight="1">
      <c r="A30" s="784" t="s">
        <v>582</v>
      </c>
      <c r="B30" s="784">
        <v>5196.2</v>
      </c>
      <c r="C30" s="784">
        <v>5196.2</v>
      </c>
      <c r="D30" s="784">
        <v>4146</v>
      </c>
      <c r="E30" s="784">
        <v>4146</v>
      </c>
      <c r="F30" s="784" t="e">
        <f>'ВЕД.СТ Пр.2.'!#REF!</f>
        <v>#REF!</v>
      </c>
      <c r="G30" s="788" t="e">
        <f t="shared" si="0"/>
        <v>#REF!</v>
      </c>
      <c r="H30" s="788">
        <v>6750.044175</v>
      </c>
    </row>
    <row r="31" spans="1:8" ht="12.75">
      <c r="A31" s="784" t="s">
        <v>166</v>
      </c>
      <c r="B31" s="784">
        <v>598.5</v>
      </c>
      <c r="C31" s="784">
        <v>598.5</v>
      </c>
      <c r="D31" s="784">
        <v>659</v>
      </c>
      <c r="E31" s="784">
        <v>659</v>
      </c>
      <c r="F31" s="784" t="e">
        <f>'ВЕД.СТ Пр.2.'!#REF!</f>
        <v>#REF!</v>
      </c>
      <c r="G31" s="784" t="e">
        <f t="shared" si="0"/>
        <v>#REF!</v>
      </c>
      <c r="H31" s="788">
        <v>1167.798</v>
      </c>
    </row>
    <row r="32" spans="1:8" ht="12.75">
      <c r="A32" s="784" t="s">
        <v>167</v>
      </c>
      <c r="B32" s="784">
        <v>5732</v>
      </c>
      <c r="C32" s="784">
        <v>5204.4</v>
      </c>
      <c r="D32" s="784">
        <v>6705</v>
      </c>
      <c r="E32" s="784">
        <v>6705</v>
      </c>
      <c r="F32" s="784" t="e">
        <f>'ВЕД.СТ Пр.2.'!#REF!</f>
        <v>#REF!</v>
      </c>
      <c r="G32" s="784">
        <f>6992.6+591.4</f>
        <v>7584</v>
      </c>
      <c r="H32" s="784">
        <f>7482.1+632.8</f>
        <v>8114.900000000001</v>
      </c>
    </row>
    <row r="33" spans="1:8" ht="17.25" customHeight="1">
      <c r="A33" s="786" t="s">
        <v>586</v>
      </c>
      <c r="B33" s="786">
        <v>553.1</v>
      </c>
      <c r="C33" s="786">
        <v>4419.8</v>
      </c>
      <c r="D33" s="786"/>
      <c r="E33" s="786">
        <f>E11-E20</f>
        <v>6499.5</v>
      </c>
      <c r="F33" s="786" t="e">
        <f>F11-F20</f>
        <v>#REF!</v>
      </c>
      <c r="G33" s="786" t="e">
        <f>G11-G20</f>
        <v>#REF!</v>
      </c>
      <c r="H33" s="786"/>
    </row>
    <row r="34" spans="1:8" ht="15.75" customHeight="1">
      <c r="A34" s="784" t="s">
        <v>587</v>
      </c>
      <c r="B34" s="784">
        <v>-553.1</v>
      </c>
      <c r="C34" s="784">
        <v>-4419.8</v>
      </c>
      <c r="D34" s="784"/>
      <c r="E34" s="784">
        <v>-6499.5</v>
      </c>
      <c r="F34" s="784">
        <v>0</v>
      </c>
      <c r="G34" s="784">
        <v>0</v>
      </c>
      <c r="H34" s="784">
        <v>0</v>
      </c>
    </row>
    <row r="35" spans="1:8" ht="28.5" customHeight="1">
      <c r="A35" s="784" t="s">
        <v>588</v>
      </c>
      <c r="B35" s="784">
        <v>-553.1</v>
      </c>
      <c r="C35" s="784">
        <v>-4419.8</v>
      </c>
      <c r="D35" s="784"/>
      <c r="E35" s="784">
        <v>-6499.5</v>
      </c>
      <c r="F35" s="784">
        <v>0</v>
      </c>
      <c r="G35" s="784">
        <v>0</v>
      </c>
      <c r="H35" s="784">
        <v>0</v>
      </c>
    </row>
    <row r="36" spans="1:8" ht="12.75">
      <c r="A36" s="784" t="s">
        <v>589</v>
      </c>
      <c r="B36" s="784"/>
      <c r="C36" s="784"/>
      <c r="D36" s="784"/>
      <c r="E36" s="784">
        <v>0</v>
      </c>
      <c r="F36" s="784">
        <v>0</v>
      </c>
      <c r="G36" s="784"/>
      <c r="H36" s="784"/>
    </row>
    <row r="37" spans="1:8" ht="12.75">
      <c r="A37" s="784" t="s">
        <v>590</v>
      </c>
      <c r="B37" s="784">
        <v>0</v>
      </c>
      <c r="C37" s="784">
        <v>0</v>
      </c>
      <c r="D37" s="784"/>
      <c r="E37" s="784">
        <v>0</v>
      </c>
      <c r="F37" s="784">
        <v>0</v>
      </c>
      <c r="G37" s="784">
        <v>0</v>
      </c>
      <c r="H37" s="784">
        <v>0</v>
      </c>
    </row>
    <row r="38" spans="1:8" ht="12.75">
      <c r="A38" s="784" t="s">
        <v>787</v>
      </c>
      <c r="B38" s="784"/>
      <c r="C38" s="784"/>
      <c r="D38" s="784"/>
      <c r="E38" s="784"/>
      <c r="F38" s="784"/>
      <c r="G38" s="784"/>
      <c r="H38" s="784"/>
    </row>
    <row r="39" spans="1:8" ht="15" customHeight="1">
      <c r="A39" s="784" t="s">
        <v>161</v>
      </c>
      <c r="B39" s="784">
        <v>0</v>
      </c>
      <c r="C39" s="784">
        <v>0</v>
      </c>
      <c r="D39" s="784"/>
      <c r="E39" s="784">
        <v>0</v>
      </c>
      <c r="F39" s="784">
        <v>0</v>
      </c>
      <c r="G39" s="784">
        <v>0</v>
      </c>
      <c r="H39" s="784">
        <v>0</v>
      </c>
    </row>
    <row r="40" spans="1:8" ht="12.75">
      <c r="A40" s="784" t="s">
        <v>162</v>
      </c>
      <c r="B40" s="784"/>
      <c r="C40" s="784"/>
      <c r="D40" s="784"/>
      <c r="E40" s="784"/>
      <c r="F40" s="784"/>
      <c r="G40" s="784"/>
      <c r="H40" s="784"/>
    </row>
    <row r="41" spans="1:8" ht="39" customHeight="1">
      <c r="A41" s="784" t="s">
        <v>163</v>
      </c>
      <c r="B41" s="784"/>
      <c r="C41" s="784"/>
      <c r="D41" s="784"/>
      <c r="E41" s="784"/>
      <c r="F41" s="784"/>
      <c r="G41" s="784"/>
      <c r="H41" s="784"/>
    </row>
    <row r="42" spans="1:8" ht="27" customHeight="1">
      <c r="A42" s="784" t="s">
        <v>165</v>
      </c>
      <c r="B42" s="784"/>
      <c r="C42" s="784"/>
      <c r="D42" s="784"/>
      <c r="E42" s="784"/>
      <c r="F42" s="784"/>
      <c r="G42" s="784"/>
      <c r="H42" s="784"/>
    </row>
    <row r="43" spans="1:8" ht="26.25" customHeight="1">
      <c r="A43" s="784" t="s">
        <v>168</v>
      </c>
      <c r="B43" s="784">
        <v>-0.01</v>
      </c>
      <c r="C43" s="784">
        <v>-0.07</v>
      </c>
      <c r="D43" s="784"/>
      <c r="E43" s="784">
        <v>-0.1</v>
      </c>
      <c r="F43" s="784">
        <v>0</v>
      </c>
      <c r="G43" s="784">
        <v>0</v>
      </c>
      <c r="H43" s="784">
        <v>0</v>
      </c>
    </row>
    <row r="45" ht="12.75">
      <c r="A45" t="s">
        <v>170</v>
      </c>
    </row>
  </sheetData>
  <sheetProtection/>
  <mergeCells count="10">
    <mergeCell ref="B9:C9"/>
    <mergeCell ref="D9:E9"/>
    <mergeCell ref="A8:A10"/>
    <mergeCell ref="D1:H1"/>
    <mergeCell ref="A2:H2"/>
    <mergeCell ref="A5:H5"/>
    <mergeCell ref="A6:H6"/>
    <mergeCell ref="B8:C8"/>
    <mergeCell ref="D8:E8"/>
    <mergeCell ref="G8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4"/>
  <sheetViews>
    <sheetView zoomScale="80" zoomScaleNormal="80" zoomScalePageLayoutView="0" workbookViewId="0" topLeftCell="C1">
      <selection activeCell="M18" sqref="M18"/>
    </sheetView>
  </sheetViews>
  <sheetFormatPr defaultColWidth="9.00390625" defaultRowHeight="12.75"/>
  <cols>
    <col min="1" max="1" width="4.125" style="0" customWidth="1"/>
    <col min="2" max="2" width="58.25390625" style="0" customWidth="1"/>
    <col min="3" max="3" width="11.875" style="0" customWidth="1"/>
    <col min="4" max="4" width="12.875" style="0" customWidth="1"/>
    <col min="5" max="5" width="11.00390625" style="0" bestFit="1" customWidth="1"/>
    <col min="6" max="6" width="10.75390625" style="0" bestFit="1" customWidth="1"/>
    <col min="7" max="7" width="11.00390625" style="0" bestFit="1" customWidth="1"/>
    <col min="8" max="8" width="10.75390625" style="0" bestFit="1" customWidth="1"/>
  </cols>
  <sheetData>
    <row r="1" spans="1:9" ht="15.75">
      <c r="A1" s="3233" t="s">
        <v>1234</v>
      </c>
      <c r="B1" s="3233"/>
      <c r="C1" s="3233"/>
      <c r="D1" s="3233"/>
      <c r="E1" s="3233"/>
      <c r="F1" s="3233"/>
      <c r="G1" s="3233"/>
      <c r="H1" s="3233"/>
      <c r="I1" s="3233"/>
    </row>
    <row r="2" spans="1:9" ht="15.75">
      <c r="A2" s="3233" t="str">
        <f>'Бюд.р.'!D120</f>
        <v>№ 02-03-02 от 14.01.2015</v>
      </c>
      <c r="B2" s="3233"/>
      <c r="C2" s="3233"/>
      <c r="D2" s="3233"/>
      <c r="E2" s="3233"/>
      <c r="F2" s="3233"/>
      <c r="G2" s="3233"/>
      <c r="H2" s="3233"/>
      <c r="I2" s="3233"/>
    </row>
    <row r="3" spans="1:9" ht="15.75" hidden="1">
      <c r="A3" s="3233"/>
      <c r="B3" s="3233"/>
      <c r="C3" s="3233"/>
      <c r="D3" s="3233"/>
      <c r="E3" s="3233"/>
      <c r="F3" s="3233"/>
      <c r="G3" s="3233"/>
      <c r="H3" s="3233"/>
      <c r="I3" s="3233"/>
    </row>
    <row r="4" spans="1:9" ht="15.75" hidden="1">
      <c r="A4" s="3233"/>
      <c r="B4" s="3233"/>
      <c r="C4" s="3233"/>
      <c r="D4" s="3233"/>
      <c r="E4" s="3233"/>
      <c r="F4" s="3233"/>
      <c r="G4" s="3233"/>
      <c r="H4" s="3233"/>
      <c r="I4" s="3233"/>
    </row>
    <row r="5" spans="1:9" ht="15.75" hidden="1">
      <c r="A5" s="809"/>
      <c r="G5" s="3100"/>
      <c r="H5" s="3100"/>
      <c r="I5" s="3100"/>
    </row>
    <row r="6" spans="1:9" ht="15.75">
      <c r="A6" s="3216" t="s">
        <v>540</v>
      </c>
      <c r="B6" s="3216"/>
      <c r="C6" s="3216"/>
      <c r="D6" s="3216"/>
      <c r="E6" s="3216"/>
      <c r="F6" s="3216"/>
      <c r="G6" s="3216"/>
      <c r="H6" s="3216"/>
      <c r="I6" s="3216"/>
    </row>
    <row r="7" spans="1:9" ht="15.75">
      <c r="A7" s="3216" t="s">
        <v>1344</v>
      </c>
      <c r="B7" s="3216"/>
      <c r="C7" s="3216"/>
      <c r="D7" s="3216"/>
      <c r="E7" s="3216"/>
      <c r="F7" s="3216"/>
      <c r="G7" s="3216"/>
      <c r="H7" s="3216"/>
      <c r="I7" s="3216"/>
    </row>
    <row r="8" spans="1:9" ht="13.5" thickBot="1">
      <c r="A8" s="3217" t="s">
        <v>515</v>
      </c>
      <c r="B8" s="3217"/>
      <c r="C8" s="3217"/>
      <c r="D8" s="3217"/>
      <c r="E8" s="3217"/>
      <c r="F8" s="3217"/>
      <c r="G8" s="3217"/>
      <c r="H8" s="3217"/>
      <c r="I8" s="3217"/>
    </row>
    <row r="9" spans="1:9" ht="12.75" customHeight="1">
      <c r="A9" s="3218" t="s">
        <v>516</v>
      </c>
      <c r="B9" s="3221" t="s">
        <v>517</v>
      </c>
      <c r="C9" s="3227" t="s">
        <v>533</v>
      </c>
      <c r="D9" s="3227" t="s">
        <v>534</v>
      </c>
      <c r="E9" s="3230" t="s">
        <v>518</v>
      </c>
      <c r="F9" s="3231"/>
      <c r="G9" s="3231"/>
      <c r="H9" s="3232"/>
      <c r="I9" s="3224" t="s">
        <v>535</v>
      </c>
    </row>
    <row r="10" spans="1:9" ht="12.75" customHeight="1">
      <c r="A10" s="3219"/>
      <c r="B10" s="3222"/>
      <c r="C10" s="3228"/>
      <c r="D10" s="3228"/>
      <c r="E10" s="811" t="s">
        <v>519</v>
      </c>
      <c r="F10" s="811" t="s">
        <v>521</v>
      </c>
      <c r="G10" s="811" t="s">
        <v>522</v>
      </c>
      <c r="H10" s="811" t="s">
        <v>523</v>
      </c>
      <c r="I10" s="3225"/>
    </row>
    <row r="11" spans="1:9" ht="12.75">
      <c r="A11" s="3219"/>
      <c r="B11" s="3222"/>
      <c r="C11" s="3228"/>
      <c r="D11" s="3228"/>
      <c r="E11" s="3228" t="s">
        <v>520</v>
      </c>
      <c r="F11" s="3228" t="s">
        <v>520</v>
      </c>
      <c r="G11" s="3228" t="s">
        <v>520</v>
      </c>
      <c r="H11" s="3228" t="s">
        <v>520</v>
      </c>
      <c r="I11" s="3225"/>
    </row>
    <row r="12" spans="1:9" ht="12.75">
      <c r="A12" s="3219"/>
      <c r="B12" s="3222"/>
      <c r="C12" s="3228"/>
      <c r="D12" s="3228"/>
      <c r="E12" s="3228"/>
      <c r="F12" s="3228"/>
      <c r="G12" s="3228"/>
      <c r="H12" s="3228"/>
      <c r="I12" s="3225"/>
    </row>
    <row r="13" spans="1:9" ht="12.75">
      <c r="A13" s="3219"/>
      <c r="B13" s="3222"/>
      <c r="C13" s="3228"/>
      <c r="D13" s="3228"/>
      <c r="E13" s="3228"/>
      <c r="F13" s="3228"/>
      <c r="G13" s="3228"/>
      <c r="H13" s="3228"/>
      <c r="I13" s="3225"/>
    </row>
    <row r="14" spans="1:9" ht="12.75">
      <c r="A14" s="3219"/>
      <c r="B14" s="3222"/>
      <c r="C14" s="3228"/>
      <c r="D14" s="3228"/>
      <c r="E14" s="3228"/>
      <c r="F14" s="3228"/>
      <c r="G14" s="3228"/>
      <c r="H14" s="3228"/>
      <c r="I14" s="3225"/>
    </row>
    <row r="15" spans="1:9" ht="13.5" thickBot="1">
      <c r="A15" s="3220"/>
      <c r="B15" s="3223"/>
      <c r="C15" s="3229"/>
      <c r="D15" s="3229"/>
      <c r="E15" s="3229"/>
      <c r="F15" s="3229"/>
      <c r="G15" s="3229"/>
      <c r="H15" s="3229"/>
      <c r="I15" s="3226"/>
    </row>
    <row r="16" spans="1:9" ht="15.75" customHeight="1" thickBot="1">
      <c r="A16" s="817" t="s">
        <v>524</v>
      </c>
      <c r="B16" s="818" t="s">
        <v>525</v>
      </c>
      <c r="C16" s="818">
        <v>1</v>
      </c>
      <c r="D16" s="818" t="s">
        <v>526</v>
      </c>
      <c r="E16" s="818">
        <v>3</v>
      </c>
      <c r="F16" s="818">
        <v>4</v>
      </c>
      <c r="G16" s="818">
        <v>5</v>
      </c>
      <c r="H16" s="818">
        <v>6</v>
      </c>
      <c r="I16" s="819" t="s">
        <v>527</v>
      </c>
    </row>
    <row r="17" spans="1:9" ht="15.75">
      <c r="A17" s="820">
        <v>1</v>
      </c>
      <c r="B17" s="815" t="s">
        <v>528</v>
      </c>
      <c r="C17" s="816">
        <f>D17</f>
        <v>121000</v>
      </c>
      <c r="D17" s="816">
        <f>SUM(E17:H17)</f>
        <v>121000</v>
      </c>
      <c r="E17" s="816">
        <f>кв!E109</f>
        <v>20818.868000000002</v>
      </c>
      <c r="F17" s="816">
        <f>кв!F109</f>
        <v>28765.451999999997</v>
      </c>
      <c r="G17" s="816">
        <f>кв!G109</f>
        <v>36784.909</v>
      </c>
      <c r="H17" s="816">
        <f>кв!H109</f>
        <v>34630.771</v>
      </c>
      <c r="I17" s="821">
        <f>D17-C17</f>
        <v>0</v>
      </c>
    </row>
    <row r="18" spans="1:9" ht="15.75">
      <c r="A18" s="822">
        <v>2</v>
      </c>
      <c r="B18" s="813" t="s">
        <v>529</v>
      </c>
      <c r="C18" s="812">
        <f>D18</f>
        <v>121000</v>
      </c>
      <c r="D18" s="812">
        <f>SUM(E18:H18)</f>
        <v>121000</v>
      </c>
      <c r="E18" s="812">
        <f>'Бюд.р.'!I604</f>
        <v>17891.748</v>
      </c>
      <c r="F18" s="812">
        <f>'Бюд.р.'!J604</f>
        <v>22129.322999999997</v>
      </c>
      <c r="G18" s="812">
        <f>'Бюд.р.'!K604</f>
        <v>36118.227</v>
      </c>
      <c r="H18" s="812">
        <f>'Бюд.р.'!L604</f>
        <v>44860.702000000005</v>
      </c>
      <c r="I18" s="823">
        <f>D18-C18</f>
        <v>0</v>
      </c>
    </row>
    <row r="19" spans="1:9" ht="15.75" customHeight="1">
      <c r="A19" s="3234">
        <v>3</v>
      </c>
      <c r="B19" s="3235" t="s">
        <v>530</v>
      </c>
      <c r="C19" s="3210">
        <f>D19</f>
        <v>0</v>
      </c>
      <c r="D19" s="3210">
        <f>SUM(E19:H20)</f>
        <v>0</v>
      </c>
      <c r="E19" s="3210">
        <f>E17-E18</f>
        <v>2927.1200000000026</v>
      </c>
      <c r="F19" s="3210">
        <f>F17-F18</f>
        <v>6636.129000000001</v>
      </c>
      <c r="G19" s="3210">
        <f>G17-G18</f>
        <v>666.6820000000007</v>
      </c>
      <c r="H19" s="3210">
        <f>H17-H18</f>
        <v>-10229.931000000004</v>
      </c>
      <c r="I19" s="3209">
        <f>D19-C19</f>
        <v>0</v>
      </c>
    </row>
    <row r="20" spans="1:9" ht="12.75" hidden="1">
      <c r="A20" s="3234"/>
      <c r="B20" s="3235"/>
      <c r="C20" s="3210"/>
      <c r="D20" s="3210"/>
      <c r="E20" s="3210"/>
      <c r="F20" s="3210"/>
      <c r="G20" s="3210"/>
      <c r="H20" s="3210"/>
      <c r="I20" s="3209"/>
    </row>
    <row r="21" spans="1:9" ht="15" customHeight="1">
      <c r="A21" s="3211">
        <v>4</v>
      </c>
      <c r="B21" s="3212" t="s">
        <v>536</v>
      </c>
      <c r="C21" s="3210">
        <f>D21</f>
        <v>0</v>
      </c>
      <c r="D21" s="3210">
        <f>SUM(E21:H22)</f>
        <v>0</v>
      </c>
      <c r="E21" s="3210">
        <f>кв!E110</f>
        <v>-2927.1200000000026</v>
      </c>
      <c r="F21" s="3210">
        <f>кв!F110</f>
        <v>-6636.129000000001</v>
      </c>
      <c r="G21" s="3210">
        <f>кв!G110</f>
        <v>-666.6820000000007</v>
      </c>
      <c r="H21" s="3210">
        <f>кв!H110</f>
        <v>10229.931000000004</v>
      </c>
      <c r="I21" s="3209">
        <f>D21-C21</f>
        <v>0</v>
      </c>
    </row>
    <row r="22" spans="1:9" ht="13.5" customHeight="1" hidden="1" thickBot="1">
      <c r="A22" s="3211"/>
      <c r="B22" s="3212"/>
      <c r="C22" s="3210"/>
      <c r="D22" s="3210"/>
      <c r="E22" s="3210"/>
      <c r="F22" s="3210"/>
      <c r="G22" s="3210"/>
      <c r="H22" s="3210"/>
      <c r="I22" s="3209"/>
    </row>
    <row r="23" spans="1:9" ht="15" customHeight="1">
      <c r="A23" s="822">
        <v>5</v>
      </c>
      <c r="B23" s="814" t="s">
        <v>531</v>
      </c>
      <c r="C23" s="810">
        <f>D23</f>
        <v>0</v>
      </c>
      <c r="D23" s="810">
        <f>SUM(E23:H23)</f>
        <v>0</v>
      </c>
      <c r="E23" s="810">
        <v>0</v>
      </c>
      <c r="F23" s="810">
        <v>0</v>
      </c>
      <c r="G23" s="810">
        <v>0</v>
      </c>
      <c r="H23" s="810">
        <v>0</v>
      </c>
      <c r="I23" s="823">
        <v>0</v>
      </c>
    </row>
    <row r="24" spans="1:9" ht="15.75" customHeight="1">
      <c r="A24" s="3211">
        <v>6</v>
      </c>
      <c r="B24" s="3212" t="s">
        <v>537</v>
      </c>
      <c r="C24" s="3210">
        <f>D24</f>
        <v>0</v>
      </c>
      <c r="D24" s="3210">
        <f>SUM(E24:H26)</f>
        <v>0</v>
      </c>
      <c r="E24" s="3210">
        <v>0</v>
      </c>
      <c r="F24" s="3210">
        <v>0</v>
      </c>
      <c r="G24" s="3210">
        <v>0</v>
      </c>
      <c r="H24" s="3210">
        <v>0</v>
      </c>
      <c r="I24" s="3209">
        <v>0</v>
      </c>
    </row>
    <row r="25" spans="1:9" ht="14.25" customHeight="1">
      <c r="A25" s="3211"/>
      <c r="B25" s="3212"/>
      <c r="C25" s="3210"/>
      <c r="D25" s="3210"/>
      <c r="E25" s="3210"/>
      <c r="F25" s="3210"/>
      <c r="G25" s="3210"/>
      <c r="H25" s="3210"/>
      <c r="I25" s="3209"/>
    </row>
    <row r="26" spans="1:9" ht="12.75" hidden="1">
      <c r="A26" s="3211"/>
      <c r="B26" s="3212"/>
      <c r="C26" s="3210"/>
      <c r="D26" s="3210"/>
      <c r="E26" s="3210"/>
      <c r="F26" s="3210"/>
      <c r="G26" s="3210"/>
      <c r="H26" s="3210"/>
      <c r="I26" s="3209"/>
    </row>
    <row r="27" spans="1:9" ht="15.75" customHeight="1">
      <c r="A27" s="3211">
        <v>7</v>
      </c>
      <c r="B27" s="3212" t="s">
        <v>542</v>
      </c>
      <c r="C27" s="3210">
        <f>D27</f>
        <v>0</v>
      </c>
      <c r="D27" s="3210">
        <f>SUM(E27:H30)</f>
        <v>0</v>
      </c>
      <c r="E27" s="3210">
        <v>0</v>
      </c>
      <c r="F27" s="3210">
        <v>0</v>
      </c>
      <c r="G27" s="3210">
        <v>0</v>
      </c>
      <c r="H27" s="3210">
        <v>0</v>
      </c>
      <c r="I27" s="3209"/>
    </row>
    <row r="28" spans="1:9" ht="12.75">
      <c r="A28" s="3211"/>
      <c r="B28" s="3212"/>
      <c r="C28" s="3210"/>
      <c r="D28" s="3210"/>
      <c r="E28" s="3210"/>
      <c r="F28" s="3210"/>
      <c r="G28" s="3210"/>
      <c r="H28" s="3210"/>
      <c r="I28" s="3209"/>
    </row>
    <row r="29" spans="1:9" ht="3" customHeight="1">
      <c r="A29" s="3211"/>
      <c r="B29" s="3212"/>
      <c r="C29" s="3210"/>
      <c r="D29" s="3210"/>
      <c r="E29" s="3210"/>
      <c r="F29" s="3210"/>
      <c r="G29" s="3210"/>
      <c r="H29" s="3210"/>
      <c r="I29" s="3209"/>
    </row>
    <row r="30" spans="1:9" ht="6.75" customHeight="1" hidden="1">
      <c r="A30" s="3211"/>
      <c r="B30" s="3212"/>
      <c r="C30" s="3210"/>
      <c r="D30" s="3210"/>
      <c r="E30" s="3210"/>
      <c r="F30" s="3210"/>
      <c r="G30" s="3210"/>
      <c r="H30" s="3210"/>
      <c r="I30" s="3209"/>
    </row>
    <row r="31" spans="1:9" ht="15.75" customHeight="1">
      <c r="A31" s="3211">
        <v>8</v>
      </c>
      <c r="B31" s="3212" t="s">
        <v>543</v>
      </c>
      <c r="C31" s="3210">
        <f>D31</f>
        <v>0</v>
      </c>
      <c r="D31" s="3210">
        <v>0</v>
      </c>
      <c r="E31" s="3210">
        <v>0</v>
      </c>
      <c r="F31" s="3210">
        <v>0</v>
      </c>
      <c r="G31" s="3210">
        <v>0</v>
      </c>
      <c r="H31" s="3210">
        <v>0</v>
      </c>
      <c r="I31" s="3209">
        <v>0</v>
      </c>
    </row>
    <row r="32" spans="1:9" ht="12.75">
      <c r="A32" s="3211"/>
      <c r="B32" s="3212"/>
      <c r="C32" s="3210"/>
      <c r="D32" s="3210"/>
      <c r="E32" s="3210"/>
      <c r="F32" s="3210"/>
      <c r="G32" s="3210"/>
      <c r="H32" s="3210"/>
      <c r="I32" s="3209"/>
    </row>
    <row r="33" spans="1:9" ht="2.25" customHeight="1">
      <c r="A33" s="3211"/>
      <c r="B33" s="3212"/>
      <c r="C33" s="3210"/>
      <c r="D33" s="3210"/>
      <c r="E33" s="3210"/>
      <c r="F33" s="3210"/>
      <c r="G33" s="3210"/>
      <c r="H33" s="3210"/>
      <c r="I33" s="3209"/>
    </row>
    <row r="34" spans="1:9" ht="15.75" customHeight="1">
      <c r="A34" s="3211">
        <v>9</v>
      </c>
      <c r="B34" s="3212" t="s">
        <v>544</v>
      </c>
      <c r="C34" s="3210">
        <f>D34</f>
        <v>0</v>
      </c>
      <c r="D34" s="3210">
        <v>0</v>
      </c>
      <c r="E34" s="3213">
        <v>0</v>
      </c>
      <c r="F34" s="3213">
        <v>0</v>
      </c>
      <c r="G34" s="3213">
        <v>0</v>
      </c>
      <c r="H34" s="3213">
        <v>0</v>
      </c>
      <c r="I34" s="3209">
        <v>0</v>
      </c>
    </row>
    <row r="35" spans="1:9" ht="12" customHeight="1">
      <c r="A35" s="3211"/>
      <c r="B35" s="3212"/>
      <c r="C35" s="3210"/>
      <c r="D35" s="3210"/>
      <c r="E35" s="3214"/>
      <c r="F35" s="3214"/>
      <c r="G35" s="3214"/>
      <c r="H35" s="3214"/>
      <c r="I35" s="3209"/>
    </row>
    <row r="36" spans="1:9" ht="20.25" customHeight="1" hidden="1">
      <c r="A36" s="3211"/>
      <c r="B36" s="3212"/>
      <c r="C36" s="3210"/>
      <c r="D36" s="3210"/>
      <c r="E36" s="3215"/>
      <c r="F36" s="3215"/>
      <c r="G36" s="3215"/>
      <c r="H36" s="3215"/>
      <c r="I36" s="3209"/>
    </row>
    <row r="37" spans="1:9" ht="27.75" customHeight="1">
      <c r="A37" s="822">
        <v>10</v>
      </c>
      <c r="B37" s="814" t="s">
        <v>539</v>
      </c>
      <c r="C37" s="810">
        <f>D37</f>
        <v>0</v>
      </c>
      <c r="D37" s="810">
        <v>0</v>
      </c>
      <c r="E37" s="810">
        <v>0</v>
      </c>
      <c r="F37" s="810">
        <v>0</v>
      </c>
      <c r="G37" s="810">
        <v>0</v>
      </c>
      <c r="H37" s="810">
        <v>0</v>
      </c>
      <c r="I37" s="823">
        <v>0</v>
      </c>
    </row>
    <row r="38" spans="1:9" ht="32.25" customHeight="1" thickBot="1">
      <c r="A38" s="824">
        <v>11</v>
      </c>
      <c r="B38" s="825" t="s">
        <v>538</v>
      </c>
      <c r="C38" s="826">
        <f>D38</f>
        <v>0</v>
      </c>
      <c r="D38" s="826">
        <v>0</v>
      </c>
      <c r="E38" s="826">
        <v>0</v>
      </c>
      <c r="F38" s="826">
        <v>0</v>
      </c>
      <c r="G38" s="826">
        <v>0</v>
      </c>
      <c r="H38" s="826">
        <v>0</v>
      </c>
      <c r="I38" s="827">
        <v>0</v>
      </c>
    </row>
    <row r="39" ht="15.75">
      <c r="A39" s="808" t="s">
        <v>532</v>
      </c>
    </row>
    <row r="40" ht="15.75">
      <c r="A40" s="808" t="s">
        <v>541</v>
      </c>
    </row>
    <row r="41" ht="15.75">
      <c r="A41" s="808" t="s">
        <v>1345</v>
      </c>
    </row>
    <row r="42" ht="15.75">
      <c r="A42" s="808"/>
    </row>
    <row r="43" ht="15.75">
      <c r="A43" s="807"/>
    </row>
    <row r="44" ht="15.75">
      <c r="A44" s="808"/>
    </row>
  </sheetData>
  <sheetProtection/>
  <mergeCells count="72">
    <mergeCell ref="C19:C20"/>
    <mergeCell ref="D19:D20"/>
    <mergeCell ref="A19:A20"/>
    <mergeCell ref="B19:B20"/>
    <mergeCell ref="E19:E20"/>
    <mergeCell ref="A21:A22"/>
    <mergeCell ref="C21:C22"/>
    <mergeCell ref="D21:D22"/>
    <mergeCell ref="E21:E22"/>
    <mergeCell ref="B21:B22"/>
    <mergeCell ref="I21:I22"/>
    <mergeCell ref="B24:B26"/>
    <mergeCell ref="C27:C30"/>
    <mergeCell ref="I27:I30"/>
    <mergeCell ref="D27:D30"/>
    <mergeCell ref="G24:G26"/>
    <mergeCell ref="G19:G20"/>
    <mergeCell ref="H19:H20"/>
    <mergeCell ref="I24:I26"/>
    <mergeCell ref="I19:I20"/>
    <mergeCell ref="A24:A26"/>
    <mergeCell ref="C24:C26"/>
    <mergeCell ref="D24:D26"/>
    <mergeCell ref="E24:E26"/>
    <mergeCell ref="F24:F26"/>
    <mergeCell ref="F21:F22"/>
    <mergeCell ref="C34:C36"/>
    <mergeCell ref="E34:E36"/>
    <mergeCell ref="A1:I1"/>
    <mergeCell ref="A2:I2"/>
    <mergeCell ref="A3:I3"/>
    <mergeCell ref="A4:I4"/>
    <mergeCell ref="H31:H33"/>
    <mergeCell ref="I31:I33"/>
    <mergeCell ref="H24:H26"/>
    <mergeCell ref="A31:A33"/>
    <mergeCell ref="F34:F36"/>
    <mergeCell ref="G34:G36"/>
    <mergeCell ref="D31:D33"/>
    <mergeCell ref="E31:E33"/>
    <mergeCell ref="F31:F33"/>
    <mergeCell ref="G31:G33"/>
    <mergeCell ref="E11:E15"/>
    <mergeCell ref="F11:F15"/>
    <mergeCell ref="G11:G15"/>
    <mergeCell ref="H11:H15"/>
    <mergeCell ref="E27:E30"/>
    <mergeCell ref="F27:F30"/>
    <mergeCell ref="G27:G30"/>
    <mergeCell ref="G21:G22"/>
    <mergeCell ref="H21:H22"/>
    <mergeCell ref="F19:F20"/>
    <mergeCell ref="C31:C33"/>
    <mergeCell ref="A6:I6"/>
    <mergeCell ref="A7:I7"/>
    <mergeCell ref="A8:I8"/>
    <mergeCell ref="A9:A15"/>
    <mergeCell ref="B9:B15"/>
    <mergeCell ref="I9:I15"/>
    <mergeCell ref="C9:C15"/>
    <mergeCell ref="D9:D15"/>
    <mergeCell ref="E9:H9"/>
    <mergeCell ref="G5:I5"/>
    <mergeCell ref="I34:I36"/>
    <mergeCell ref="D34:D36"/>
    <mergeCell ref="A34:A36"/>
    <mergeCell ref="B31:B33"/>
    <mergeCell ref="B34:B36"/>
    <mergeCell ref="B27:B30"/>
    <mergeCell ref="A27:A30"/>
    <mergeCell ref="H27:H30"/>
    <mergeCell ref="H34:H36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75"/>
  <sheetViews>
    <sheetView zoomScale="87" zoomScaleNormal="87" zoomScalePageLayoutView="0" workbookViewId="0" topLeftCell="C1">
      <selection activeCell="I68" sqref="I68"/>
    </sheetView>
  </sheetViews>
  <sheetFormatPr defaultColWidth="9.00390625" defaultRowHeight="12.75"/>
  <cols>
    <col min="1" max="1" width="7.125" style="0" hidden="1" customWidth="1"/>
    <col min="2" max="2" width="64.625" style="0" customWidth="1"/>
    <col min="3" max="3" width="8.625" style="0" customWidth="1"/>
    <col min="4" max="4" width="8.375" style="0" customWidth="1"/>
    <col min="5" max="5" width="10.375" style="0" customWidth="1"/>
    <col min="6" max="6" width="5.75390625" style="0" customWidth="1"/>
    <col min="7" max="7" width="12.875" style="0" customWidth="1"/>
    <col min="8" max="8" width="11.375" style="0" customWidth="1"/>
    <col min="9" max="9" width="11.625" style="0" customWidth="1"/>
  </cols>
  <sheetData>
    <row r="1" spans="1:9" ht="15">
      <c r="A1" s="831"/>
      <c r="B1" s="3261" t="s">
        <v>910</v>
      </c>
      <c r="C1" s="3261"/>
      <c r="D1" s="3261"/>
      <c r="E1" s="3261"/>
      <c r="F1" s="3261"/>
      <c r="G1" s="3261"/>
      <c r="H1" s="3261"/>
      <c r="I1" s="3261"/>
    </row>
    <row r="2" spans="1:9" ht="15">
      <c r="A2" s="831"/>
      <c r="B2" s="3261" t="s">
        <v>1042</v>
      </c>
      <c r="C2" s="3261"/>
      <c r="D2" s="3261"/>
      <c r="E2" s="3261"/>
      <c r="F2" s="3261"/>
      <c r="G2" s="3261"/>
      <c r="H2" s="3261"/>
      <c r="I2" s="3261"/>
    </row>
    <row r="3" spans="1:9" ht="15">
      <c r="A3" s="831"/>
      <c r="B3" s="3261" t="s">
        <v>1302</v>
      </c>
      <c r="C3" s="3261"/>
      <c r="D3" s="3261"/>
      <c r="E3" s="3261"/>
      <c r="F3" s="3261"/>
      <c r="G3" s="3261"/>
      <c r="H3" s="3261"/>
      <c r="I3" s="3261"/>
    </row>
    <row r="4" spans="1:9" ht="15">
      <c r="A4" s="831"/>
      <c r="B4" s="3261" t="s">
        <v>1348</v>
      </c>
      <c r="C4" s="3261"/>
      <c r="D4" s="3261"/>
      <c r="E4" s="3261"/>
      <c r="F4" s="3261"/>
      <c r="G4" s="3261"/>
      <c r="H4" s="3261"/>
      <c r="I4" s="3261"/>
    </row>
    <row r="5" spans="1:9" ht="15">
      <c r="A5" s="831"/>
      <c r="B5" s="3261" t="s">
        <v>1349</v>
      </c>
      <c r="C5" s="3261"/>
      <c r="D5" s="3261"/>
      <c r="E5" s="3261"/>
      <c r="F5" s="3261"/>
      <c r="G5" s="3261"/>
      <c r="H5" s="3261"/>
      <c r="I5" s="3261"/>
    </row>
    <row r="6" spans="1:9" ht="15.75" customHeight="1">
      <c r="A6" s="3174" t="s">
        <v>1044</v>
      </c>
      <c r="B6" s="3174"/>
      <c r="C6" s="3174"/>
      <c r="D6" s="3174"/>
      <c r="E6" s="3174"/>
      <c r="F6" s="3174"/>
      <c r="G6" s="3174"/>
      <c r="H6" s="3174"/>
      <c r="I6" s="3174"/>
    </row>
    <row r="7" spans="1:9" ht="15.75" customHeight="1">
      <c r="A7" s="3174" t="s">
        <v>1045</v>
      </c>
      <c r="B7" s="3174"/>
      <c r="C7" s="3174"/>
      <c r="D7" s="3174"/>
      <c r="E7" s="3174"/>
      <c r="F7" s="3174"/>
      <c r="G7" s="3174"/>
      <c r="H7" s="3174"/>
      <c r="I7" s="3174"/>
    </row>
    <row r="8" spans="1:9" ht="19.5" thickBot="1">
      <c r="A8" s="3262" t="s">
        <v>1303</v>
      </c>
      <c r="B8" s="3262"/>
      <c r="C8" s="3262"/>
      <c r="D8" s="3262"/>
      <c r="E8" s="3262"/>
      <c r="F8" s="3262"/>
      <c r="G8" s="3262"/>
      <c r="H8" s="3262"/>
      <c r="I8" s="3262"/>
    </row>
    <row r="9" spans="1:9" ht="58.5">
      <c r="A9" s="1276"/>
      <c r="B9" s="3265" t="s">
        <v>1060</v>
      </c>
      <c r="C9" s="3266"/>
      <c r="D9" s="3266"/>
      <c r="E9" s="3266"/>
      <c r="F9" s="3266"/>
      <c r="G9" s="2451" t="s">
        <v>1346</v>
      </c>
      <c r="H9" s="3263" t="s">
        <v>1347</v>
      </c>
      <c r="I9" s="3264"/>
    </row>
    <row r="10" spans="1:9" ht="19.5" thickBot="1">
      <c r="A10" s="1276"/>
      <c r="B10" s="3267"/>
      <c r="C10" s="3268"/>
      <c r="D10" s="3268"/>
      <c r="E10" s="3268"/>
      <c r="F10" s="3268"/>
      <c r="G10" s="2448" t="s">
        <v>1305</v>
      </c>
      <c r="H10" s="2449">
        <v>2016</v>
      </c>
      <c r="I10" s="2450">
        <v>2017</v>
      </c>
    </row>
    <row r="11" spans="1:9" ht="31.5" customHeight="1" thickBot="1">
      <c r="A11" s="1283"/>
      <c r="B11" s="3272" t="s">
        <v>1047</v>
      </c>
      <c r="C11" s="3273"/>
      <c r="D11" s="3273"/>
      <c r="E11" s="3273"/>
      <c r="F11" s="3273"/>
      <c r="G11" s="2446">
        <f>SUM(G12:G14)</f>
        <v>121000</v>
      </c>
      <c r="H11" s="2446">
        <f>SUM(H12:H14)</f>
        <v>128108.565</v>
      </c>
      <c r="I11" s="2447">
        <f>SUM(I12:I14)</f>
        <v>134756.52825</v>
      </c>
    </row>
    <row r="12" spans="1:9" ht="18.75">
      <c r="A12" s="1284"/>
      <c r="B12" s="3236" t="s">
        <v>788</v>
      </c>
      <c r="C12" s="3237"/>
      <c r="D12" s="3237"/>
      <c r="E12" s="3237"/>
      <c r="F12" s="3238"/>
      <c r="G12" s="2330">
        <f>'ДОХ.Пр.1'!E11</f>
        <v>102972.5</v>
      </c>
      <c r="H12" s="2386">
        <f>G12*1.05</f>
        <v>108121.125</v>
      </c>
      <c r="I12" s="2387">
        <f>H12*1.05</f>
        <v>113527.18125000001</v>
      </c>
    </row>
    <row r="13" spans="1:9" ht="18.75">
      <c r="A13" s="1284"/>
      <c r="B13" s="3255" t="s">
        <v>789</v>
      </c>
      <c r="C13" s="3256"/>
      <c r="D13" s="3256"/>
      <c r="E13" s="3256"/>
      <c r="F13" s="3257"/>
      <c r="G13" s="2331">
        <f>'ДОХ.Пр.1'!E33</f>
        <v>2626.8</v>
      </c>
      <c r="H13" s="2388">
        <f>G13*1.05</f>
        <v>2758.1400000000003</v>
      </c>
      <c r="I13" s="2389">
        <f>H13*1.05</f>
        <v>2896.0470000000005</v>
      </c>
    </row>
    <row r="14" spans="1:9" ht="18.75">
      <c r="A14" s="1284"/>
      <c r="B14" s="3255" t="s">
        <v>1050</v>
      </c>
      <c r="C14" s="3256"/>
      <c r="D14" s="3256"/>
      <c r="E14" s="3256"/>
      <c r="F14" s="3257"/>
      <c r="G14" s="2331">
        <f>SUM(G15:G19)</f>
        <v>15400.7</v>
      </c>
      <c r="H14" s="2331">
        <f>SUM(H15:H19)</f>
        <v>17229.3</v>
      </c>
      <c r="I14" s="2390">
        <f>SUM(I15:I19)</f>
        <v>18333.3</v>
      </c>
    </row>
    <row r="15" spans="1:9" ht="15" customHeight="1">
      <c r="A15" s="1284"/>
      <c r="B15" s="3258" t="s">
        <v>412</v>
      </c>
      <c r="C15" s="3259"/>
      <c r="D15" s="3259"/>
      <c r="E15" s="3259"/>
      <c r="F15" s="3260"/>
      <c r="G15" s="2332">
        <v>0</v>
      </c>
      <c r="H15" s="2391">
        <v>0</v>
      </c>
      <c r="I15" s="2392">
        <v>0</v>
      </c>
    </row>
    <row r="16" spans="1:9" ht="31.5" customHeight="1">
      <c r="A16" s="1284"/>
      <c r="B16" s="3258" t="str">
        <f>'ДОХ.Пр.1'!D82</f>
        <v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v>
      </c>
      <c r="C16" s="3259"/>
      <c r="D16" s="3259"/>
      <c r="E16" s="3259"/>
      <c r="F16" s="3260"/>
      <c r="G16" s="2332">
        <f>'ДОХ.Пр.1'!E82</f>
        <v>3724</v>
      </c>
      <c r="H16" s="2391">
        <f>H149</f>
        <v>4790.200000000001</v>
      </c>
      <c r="I16" s="2392">
        <f>I149</f>
        <v>5173.8</v>
      </c>
    </row>
    <row r="17" spans="1:9" ht="28.5" customHeight="1">
      <c r="A17" s="1284"/>
      <c r="B17" s="3258" t="str">
        <f>'ДОХ.Пр.1'!D83</f>
        <v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v>
      </c>
      <c r="C17" s="3259"/>
      <c r="D17" s="3259"/>
      <c r="E17" s="3259"/>
      <c r="F17" s="3260"/>
      <c r="G17" s="2332">
        <f>'ДОХ.Пр.1'!E83</f>
        <v>5.6</v>
      </c>
      <c r="H17" s="2391">
        <f>H50</f>
        <v>5.9</v>
      </c>
      <c r="I17" s="2392">
        <f>I50</f>
        <v>6.2</v>
      </c>
    </row>
    <row r="18" spans="1:9" ht="29.25" customHeight="1">
      <c r="A18" s="1284"/>
      <c r="B18" s="3274" t="str">
        <f>'ДОХ.Пр.1'!D86</f>
        <v>Субвенции бюджетам внутригородских муниципальных образований Санкт-Петербурга на содержание ребенка в семъе опекуна и приемной семье</v>
      </c>
      <c r="C18" s="3275"/>
      <c r="D18" s="3275"/>
      <c r="E18" s="3275"/>
      <c r="F18" s="3276"/>
      <c r="G18" s="2332">
        <f>'ДОХ.Пр.1'!E86</f>
        <v>8777.5</v>
      </c>
      <c r="H18" s="2391">
        <f>H152</f>
        <v>9787.4</v>
      </c>
      <c r="I18" s="2392">
        <f>I152</f>
        <v>10277</v>
      </c>
    </row>
    <row r="19" spans="1:9" ht="29.25" customHeight="1" thickBot="1">
      <c r="A19" s="1284"/>
      <c r="B19" s="3277" t="str">
        <f>'ДОХ.Пр.1'!D87</f>
        <v>Субвенции бюджетам внутригородских муниципальных образований  Санкт-Петербурга на вознаграждение, причитающееся приемному родителю</v>
      </c>
      <c r="C19" s="3278"/>
      <c r="D19" s="3278"/>
      <c r="E19" s="3278"/>
      <c r="F19" s="3279"/>
      <c r="G19" s="2333">
        <f>'ДОХ.Пр.1'!E87</f>
        <v>2893.6000000000004</v>
      </c>
      <c r="H19" s="2393">
        <f>H154</f>
        <v>2645.8</v>
      </c>
      <c r="I19" s="2394">
        <f>I154</f>
        <v>2876.3</v>
      </c>
    </row>
    <row r="20" spans="1:9" ht="25.5" customHeight="1" thickBot="1">
      <c r="A20" s="1283"/>
      <c r="B20" s="3280" t="s">
        <v>1051</v>
      </c>
      <c r="C20" s="3281"/>
      <c r="D20" s="3281"/>
      <c r="E20" s="3281"/>
      <c r="F20" s="3281"/>
      <c r="G20" s="2329" t="e">
        <f>G26+G40+G23</f>
        <v>#REF!</v>
      </c>
      <c r="H20" s="2329" t="e">
        <f>H26+H40+H23</f>
        <v>#REF!</v>
      </c>
      <c r="I20" s="2334" t="e">
        <f>I26+I40+I23</f>
        <v>#REF!</v>
      </c>
    </row>
    <row r="21" spans="1:9" ht="25.5" thickBot="1">
      <c r="A21" s="1258" t="s">
        <v>794</v>
      </c>
      <c r="B21" s="2335" t="s">
        <v>219</v>
      </c>
      <c r="C21" s="2336" t="s">
        <v>444</v>
      </c>
      <c r="D21" s="2409" t="s">
        <v>232</v>
      </c>
      <c r="E21" s="2337" t="s">
        <v>1198</v>
      </c>
      <c r="F21" s="2338" t="s">
        <v>1199</v>
      </c>
      <c r="G21" s="2339" t="s">
        <v>1122</v>
      </c>
      <c r="H21" s="2340" t="s">
        <v>1055</v>
      </c>
      <c r="I21" s="2340" t="s">
        <v>1123</v>
      </c>
    </row>
    <row r="22" spans="1:9" ht="13.5" thickBot="1">
      <c r="A22" s="251" t="s">
        <v>678</v>
      </c>
      <c r="B22" s="2341">
        <v>2</v>
      </c>
      <c r="C22" s="2342" t="s">
        <v>472</v>
      </c>
      <c r="D22" s="2343" t="s">
        <v>614</v>
      </c>
      <c r="E22" s="2343" t="s">
        <v>295</v>
      </c>
      <c r="F22" s="2344" t="s">
        <v>296</v>
      </c>
      <c r="G22" s="2345">
        <v>7</v>
      </c>
      <c r="H22" s="2346">
        <v>8</v>
      </c>
      <c r="I22" s="2346">
        <v>9</v>
      </c>
    </row>
    <row r="23" spans="1:9" ht="13.5" hidden="1" thickBot="1">
      <c r="A23" s="1624"/>
      <c r="B23" s="2347" t="s">
        <v>1107</v>
      </c>
      <c r="C23" s="2348" t="s">
        <v>808</v>
      </c>
      <c r="D23" s="2349"/>
      <c r="E23" s="2349"/>
      <c r="F23" s="2350"/>
      <c r="G23" s="2351">
        <f aca="true" t="shared" si="0" ref="G23:I24">G24</f>
        <v>0</v>
      </c>
      <c r="H23" s="2352">
        <f t="shared" si="0"/>
        <v>0</v>
      </c>
      <c r="I23" s="2352">
        <f t="shared" si="0"/>
        <v>0</v>
      </c>
    </row>
    <row r="24" spans="1:9" ht="12.75" hidden="1">
      <c r="A24" s="1624"/>
      <c r="B24" s="1662" t="s">
        <v>102</v>
      </c>
      <c r="C24" s="1516">
        <v>917</v>
      </c>
      <c r="D24" s="1516" t="s">
        <v>457</v>
      </c>
      <c r="E24" s="1663"/>
      <c r="F24" s="1665"/>
      <c r="G24" s="1668">
        <f t="shared" si="0"/>
        <v>0</v>
      </c>
      <c r="H24" s="1618">
        <f t="shared" si="0"/>
        <v>0</v>
      </c>
      <c r="I24" s="1618">
        <f t="shared" si="0"/>
        <v>0</v>
      </c>
    </row>
    <row r="25" spans="1:9" ht="13.5" hidden="1" thickBot="1">
      <c r="A25" s="1624"/>
      <c r="B25" s="1664" t="str">
        <f>'Бюд.р.'!A9</f>
        <v>Обеспечение проведения выборов и референдумов</v>
      </c>
      <c r="C25" s="1610">
        <f>'Бюд.р.'!B9</f>
        <v>917</v>
      </c>
      <c r="D25" s="1610">
        <f>'Бюд.р.'!C9</f>
        <v>107</v>
      </c>
      <c r="E25" s="2353"/>
      <c r="F25" s="2354"/>
      <c r="G25" s="2355">
        <f>'Бюд.р.'!H9</f>
        <v>0</v>
      </c>
      <c r="H25" s="2356">
        <v>0</v>
      </c>
      <c r="I25" s="2356">
        <v>0</v>
      </c>
    </row>
    <row r="26" spans="1:9" ht="13.5" thickBot="1">
      <c r="A26" s="1625"/>
      <c r="B26" s="2357" t="str">
        <f>'Бюд.р.'!A57</f>
        <v>МУНИЦИПАЛЬНЫЙ СОВЕТ МО МО ОЗЕРО ДОЛГОЕ</v>
      </c>
      <c r="C26" s="2358">
        <v>925</v>
      </c>
      <c r="D26" s="2358"/>
      <c r="E26" s="2358"/>
      <c r="F26" s="2359"/>
      <c r="G26" s="2360">
        <f>G27</f>
        <v>4108.187</v>
      </c>
      <c r="H26" s="2360">
        <f>H27</f>
        <v>4313.59635</v>
      </c>
      <c r="I26" s="2361">
        <f>I27</f>
        <v>4529.2761675</v>
      </c>
    </row>
    <row r="27" spans="1:9" ht="13.5" thickBot="1">
      <c r="A27" s="1626" t="s">
        <v>607</v>
      </c>
      <c r="B27" s="1662" t="s">
        <v>102</v>
      </c>
      <c r="C27" s="1516" t="s">
        <v>83</v>
      </c>
      <c r="D27" s="1516" t="s">
        <v>457</v>
      </c>
      <c r="E27" s="1516"/>
      <c r="F27" s="1597"/>
      <c r="G27" s="1669">
        <f>G28+G31</f>
        <v>4108.187</v>
      </c>
      <c r="H27" s="1669">
        <f>H28+H31</f>
        <v>4313.59635</v>
      </c>
      <c r="I27" s="2325">
        <f>I28+I31</f>
        <v>4529.2761675</v>
      </c>
    </row>
    <row r="28" spans="1:9" ht="24">
      <c r="A28" s="1627" t="s">
        <v>678</v>
      </c>
      <c r="B28" s="2298" t="s">
        <v>132</v>
      </c>
      <c r="C28" s="1611" t="s">
        <v>83</v>
      </c>
      <c r="D28" s="1611" t="s">
        <v>456</v>
      </c>
      <c r="E28" s="1611"/>
      <c r="F28" s="1667"/>
      <c r="G28" s="2299">
        <f aca="true" t="shared" si="1" ref="G28:I29">G29</f>
        <v>1148.509</v>
      </c>
      <c r="H28" s="1676">
        <f t="shared" si="1"/>
        <v>1205.93445</v>
      </c>
      <c r="I28" s="1676">
        <f t="shared" si="1"/>
        <v>1266.2311725</v>
      </c>
    </row>
    <row r="29" spans="1:9" ht="15" customHeight="1">
      <c r="A29" s="1628" t="s">
        <v>245</v>
      </c>
      <c r="B29" s="1655" t="s">
        <v>459</v>
      </c>
      <c r="C29" s="1515" t="s">
        <v>83</v>
      </c>
      <c r="D29" s="1515" t="s">
        <v>456</v>
      </c>
      <c r="E29" s="1515" t="s">
        <v>460</v>
      </c>
      <c r="F29" s="1596"/>
      <c r="G29" s="1670">
        <f t="shared" si="1"/>
        <v>1148.509</v>
      </c>
      <c r="H29" s="2395">
        <f t="shared" si="1"/>
        <v>1205.93445</v>
      </c>
      <c r="I29" s="2395">
        <f t="shared" si="1"/>
        <v>1266.2311725</v>
      </c>
    </row>
    <row r="30" spans="1:9" ht="39" customHeight="1">
      <c r="A30" s="1629" t="s">
        <v>182</v>
      </c>
      <c r="B30" s="1655" t="str">
        <f>'Бюд.р.'!A159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0" s="1515" t="s">
        <v>83</v>
      </c>
      <c r="D30" s="1515" t="s">
        <v>456</v>
      </c>
      <c r="E30" s="1515" t="str">
        <f>'Бюд.р.'!D61</f>
        <v>002  01 00</v>
      </c>
      <c r="F30" s="1596">
        <f>'Бюд.р.'!F61</f>
        <v>100</v>
      </c>
      <c r="G30" s="1670">
        <f>'Бюд.р.'!H62</f>
        <v>1148.509</v>
      </c>
      <c r="H30" s="2396">
        <f>G30*1.05</f>
        <v>1205.93445</v>
      </c>
      <c r="I30" s="2396">
        <f>H30*1.05</f>
        <v>1266.2311725</v>
      </c>
    </row>
    <row r="31" spans="1:9" ht="41.25" customHeight="1">
      <c r="A31" s="1629"/>
      <c r="B31" s="2300" t="str">
        <f>'Бюд.р.'!A66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C31" s="1611">
        <v>925</v>
      </c>
      <c r="D31" s="1781" t="s">
        <v>474</v>
      </c>
      <c r="E31" s="1611"/>
      <c r="F31" s="1667"/>
      <c r="G31" s="2299">
        <f>G32+G34+G36</f>
        <v>2959.678</v>
      </c>
      <c r="H31" s="2299">
        <f>H32+H34+H36</f>
        <v>3107.6619</v>
      </c>
      <c r="I31" s="1676">
        <f>I32+I34+I36</f>
        <v>3263.044995</v>
      </c>
    </row>
    <row r="32" spans="1:9" ht="26.25" customHeight="1">
      <c r="A32" s="1629"/>
      <c r="B32" s="2300" t="str">
        <f>'Бюд.р.'!A68</f>
        <v>ДЕПУТАТЫ, ОСУЩЕСТВЛЯЮЩИЕ СВОЮ ДЕЯТЕЛЬНОСТЬ НА ПОСТОЯННОЙ ОСНОВЕ</v>
      </c>
      <c r="C32" s="1611">
        <v>925</v>
      </c>
      <c r="D32" s="1781" t="s">
        <v>474</v>
      </c>
      <c r="E32" s="1611" t="str">
        <f>'Бюд.р.'!D68</f>
        <v>002  03 01</v>
      </c>
      <c r="F32" s="1667"/>
      <c r="G32" s="2299">
        <f>G33</f>
        <v>1088.625</v>
      </c>
      <c r="H32" s="2299">
        <f>H33</f>
        <v>1143.05625</v>
      </c>
      <c r="I32" s="1676">
        <f>I33</f>
        <v>1200.2090625</v>
      </c>
    </row>
    <row r="33" spans="1:9" ht="38.25" customHeight="1">
      <c r="A33" s="1630" t="s">
        <v>768</v>
      </c>
      <c r="B33" s="1655" t="str">
        <f>'Бюд.р.'!A159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3" s="1515" t="s">
        <v>83</v>
      </c>
      <c r="D33" s="1515" t="s">
        <v>474</v>
      </c>
      <c r="E33" s="1515" t="str">
        <f>'Бюд.р.'!D69</f>
        <v>002  03 01</v>
      </c>
      <c r="F33" s="1596">
        <f>'Бюд.р.'!F69</f>
        <v>100</v>
      </c>
      <c r="G33" s="1670">
        <f>'Бюд.р.'!H69</f>
        <v>1088.625</v>
      </c>
      <c r="H33" s="2395">
        <f>G33*1.05</f>
        <v>1143.05625</v>
      </c>
      <c r="I33" s="2395">
        <f>H33*1.05</f>
        <v>1200.2090625</v>
      </c>
    </row>
    <row r="34" spans="1:9" ht="22.5">
      <c r="A34" s="1628" t="s">
        <v>502</v>
      </c>
      <c r="B34" s="1656" t="s">
        <v>935</v>
      </c>
      <c r="C34" s="1582">
        <v>925</v>
      </c>
      <c r="D34" s="1582">
        <v>103</v>
      </c>
      <c r="E34" s="1582" t="str">
        <f>'Бюд.р.'!D77</f>
        <v>002  03 02</v>
      </c>
      <c r="F34" s="1583"/>
      <c r="G34" s="1671">
        <f>G35</f>
        <v>264.6</v>
      </c>
      <c r="H34" s="2326">
        <f>H35</f>
        <v>277.83000000000004</v>
      </c>
      <c r="I34" s="2326">
        <f>I35</f>
        <v>291.72150000000005</v>
      </c>
    </row>
    <row r="35" spans="1:9" ht="38.25" customHeight="1">
      <c r="A35" s="1629" t="s">
        <v>189</v>
      </c>
      <c r="B35" s="1587" t="str">
        <f>'Бюд.р.'!A69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5" s="1585">
        <v>925</v>
      </c>
      <c r="D35" s="1585">
        <v>103</v>
      </c>
      <c r="E35" s="1585" t="str">
        <f>'Бюд.р.'!D78</f>
        <v>002  03 02</v>
      </c>
      <c r="F35" s="1586">
        <f>'Бюд.р.'!F78</f>
        <v>100</v>
      </c>
      <c r="G35" s="1672">
        <f>'Бюд.р.'!H78</f>
        <v>264.6</v>
      </c>
      <c r="H35" s="2397">
        <f>G35*1.05</f>
        <v>277.83000000000004</v>
      </c>
      <c r="I35" s="2397">
        <f>H35*1.05</f>
        <v>291.72150000000005</v>
      </c>
    </row>
    <row r="36" spans="1:9" ht="12.75">
      <c r="A36" s="1628" t="s">
        <v>197</v>
      </c>
      <c r="B36" s="1656" t="str">
        <f>'Бюд.р.'!A82</f>
        <v>АППАРАТ ПРЕДСТАВИТЕЛЬНОГО ОРГАНА МУНИЦИПАЛЬНОГО ОБРАЗОВАНИЯ</v>
      </c>
      <c r="C36" s="1582">
        <v>925</v>
      </c>
      <c r="D36" s="1582">
        <v>103</v>
      </c>
      <c r="E36" s="1582" t="str">
        <f>'Бюд.р.'!D82</f>
        <v>002  04 00</v>
      </c>
      <c r="F36" s="1583"/>
      <c r="G36" s="1671">
        <f>SUM(G37:G39)</f>
        <v>1606.453</v>
      </c>
      <c r="H36" s="1671">
        <f>SUM(H37:H39)</f>
        <v>1686.77565</v>
      </c>
      <c r="I36" s="2326">
        <f>SUM(I37:I39)</f>
        <v>1771.1144325000002</v>
      </c>
    </row>
    <row r="37" spans="1:9" ht="33.75" customHeight="1">
      <c r="A37" s="1631" t="s">
        <v>135</v>
      </c>
      <c r="B37" s="1657" t="str">
        <f>'Бюд.р.'!A83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7" s="1585">
        <v>925</v>
      </c>
      <c r="D37" s="1585">
        <v>103</v>
      </c>
      <c r="E37" s="1585" t="str">
        <f>'Бюд.р.'!D83</f>
        <v>002  04 00</v>
      </c>
      <c r="F37" s="1586">
        <f>'Бюд.р.'!F83</f>
        <v>100</v>
      </c>
      <c r="G37" s="1672">
        <f>'Бюд.р.'!H83</f>
        <v>674.219</v>
      </c>
      <c r="H37" s="2397">
        <f aca="true" t="shared" si="2" ref="H37:I39">G37*1.05</f>
        <v>707.9299500000001</v>
      </c>
      <c r="I37" s="2397">
        <f t="shared" si="2"/>
        <v>743.3264475000001</v>
      </c>
    </row>
    <row r="38" spans="1:9" ht="12.75">
      <c r="A38" s="1631" t="s">
        <v>926</v>
      </c>
      <c r="B38" s="1587" t="str">
        <f>'Бюд.р.'!A89</f>
        <v>Закупка товаров, работ и услуг  для государственных (муниципальных) нужд</v>
      </c>
      <c r="C38" s="1585">
        <v>925</v>
      </c>
      <c r="D38" s="1585">
        <v>103</v>
      </c>
      <c r="E38" s="1585" t="str">
        <f>'Бюд.р.'!D89</f>
        <v>002 04 00</v>
      </c>
      <c r="F38" s="1586">
        <f>'Бюд.р.'!F89</f>
        <v>200</v>
      </c>
      <c r="G38" s="1672">
        <f>'Бюд.р.'!H89</f>
        <v>932.234</v>
      </c>
      <c r="H38" s="2397">
        <f t="shared" si="2"/>
        <v>978.8457000000001</v>
      </c>
      <c r="I38" s="2397">
        <f t="shared" si="2"/>
        <v>1027.7879850000002</v>
      </c>
    </row>
    <row r="39" spans="1:9" ht="13.5" thickBot="1">
      <c r="A39" s="1631" t="s">
        <v>927</v>
      </c>
      <c r="B39" s="1587" t="str">
        <f>'Бюд.р.'!A103</f>
        <v>Иные бюджетные ассигнования</v>
      </c>
      <c r="C39" s="1585">
        <v>925</v>
      </c>
      <c r="D39" s="1585">
        <v>103</v>
      </c>
      <c r="E39" s="1585" t="str">
        <f>'Бюд.р.'!D103</f>
        <v>002  04 00</v>
      </c>
      <c r="F39" s="1586">
        <f>'Бюд.р.'!F103</f>
        <v>800</v>
      </c>
      <c r="G39" s="1672">
        <f>'Бюд.р.'!H103</f>
        <v>0</v>
      </c>
      <c r="H39" s="2397">
        <f t="shared" si="2"/>
        <v>0</v>
      </c>
      <c r="I39" s="2397">
        <f t="shared" si="2"/>
        <v>0</v>
      </c>
    </row>
    <row r="40" spans="1:9" ht="13.5" thickBot="1">
      <c r="A40" s="1627" t="s">
        <v>472</v>
      </c>
      <c r="B40" s="2362" t="s">
        <v>458</v>
      </c>
      <c r="C40" s="2363" t="s">
        <v>591</v>
      </c>
      <c r="D40" s="2363"/>
      <c r="E40" s="2363"/>
      <c r="F40" s="2364"/>
      <c r="G40" s="2365" t="e">
        <f>G41+G74+G80+G87+G109+G113+G135+G144+G156+G160</f>
        <v>#REF!</v>
      </c>
      <c r="H40" s="2366" t="e">
        <f>H41+H74+H80+H87+H109+H113+H135+H144+H156+H160</f>
        <v>#REF!</v>
      </c>
      <c r="I40" s="2366" t="e">
        <f>I41+I74+I80+I87+I109+I113+I135+I144+I156+I160</f>
        <v>#REF!</v>
      </c>
    </row>
    <row r="41" spans="1:9" ht="12.75">
      <c r="A41" s="1628" t="s">
        <v>235</v>
      </c>
      <c r="B41" s="1662" t="s">
        <v>102</v>
      </c>
      <c r="C41" s="1516" t="s">
        <v>591</v>
      </c>
      <c r="D41" s="1516" t="s">
        <v>457</v>
      </c>
      <c r="E41" s="1516"/>
      <c r="F41" s="1597"/>
      <c r="G41" s="1673" t="e">
        <f>G42+G52+G55</f>
        <v>#REF!</v>
      </c>
      <c r="H41" s="1673" t="e">
        <f>H42+H52+H55</f>
        <v>#REF!</v>
      </c>
      <c r="I41" s="1673" t="e">
        <f>I42+I52+I55</f>
        <v>#REF!</v>
      </c>
    </row>
    <row r="42" spans="1:9" ht="48">
      <c r="A42" s="1629" t="s">
        <v>195</v>
      </c>
      <c r="B42" s="1655" t="s">
        <v>854</v>
      </c>
      <c r="C42" s="1515" t="s">
        <v>591</v>
      </c>
      <c r="D42" s="1515" t="s">
        <v>476</v>
      </c>
      <c r="E42" s="1515"/>
      <c r="F42" s="1596"/>
      <c r="G42" s="1674">
        <f>G43+G45+G50</f>
        <v>25821.522999999997</v>
      </c>
      <c r="H42" s="1674">
        <f>H43+H45+H50</f>
        <v>27112.619150000002</v>
      </c>
      <c r="I42" s="2367">
        <f>I43+I45+I50</f>
        <v>28468.255107500005</v>
      </c>
    </row>
    <row r="43" spans="1:9" ht="12.75">
      <c r="A43" s="1628" t="s">
        <v>8</v>
      </c>
      <c r="B43" s="2368" t="s">
        <v>87</v>
      </c>
      <c r="C43" s="1582" t="s">
        <v>591</v>
      </c>
      <c r="D43" s="2369" t="s">
        <v>476</v>
      </c>
      <c r="E43" s="1582" t="s">
        <v>477</v>
      </c>
      <c r="F43" s="1583"/>
      <c r="G43" s="2370">
        <f>G44</f>
        <v>1301.673</v>
      </c>
      <c r="H43" s="2372">
        <f>H44</f>
        <v>1366.75665</v>
      </c>
      <c r="I43" s="2372">
        <f>I44</f>
        <v>1435.0944825000001</v>
      </c>
    </row>
    <row r="44" spans="1:9" ht="36.75" customHeight="1">
      <c r="A44" s="1628" t="s">
        <v>9</v>
      </c>
      <c r="B44" s="1657" t="str">
        <f>'Бюд.р.'!A159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44" s="1768" t="s">
        <v>591</v>
      </c>
      <c r="D44" s="1773" t="s">
        <v>476</v>
      </c>
      <c r="E44" s="1768" t="str">
        <f>'Бюд.р.'!D159</f>
        <v>002  05 00</v>
      </c>
      <c r="F44" s="1584">
        <f>'Бюд.р.'!F159</f>
        <v>100</v>
      </c>
      <c r="G44" s="2371">
        <f>'Бюд.р.'!H159</f>
        <v>1301.673</v>
      </c>
      <c r="H44" s="2398">
        <f>G44*1.05</f>
        <v>1366.75665</v>
      </c>
      <c r="I44" s="2398">
        <f>H44*1.05</f>
        <v>1435.0944825000001</v>
      </c>
    </row>
    <row r="45" spans="1:9" ht="22.5">
      <c r="A45" s="1629" t="s">
        <v>928</v>
      </c>
      <c r="B45" s="2368" t="s">
        <v>54</v>
      </c>
      <c r="C45" s="1582" t="s">
        <v>591</v>
      </c>
      <c r="D45" s="2369" t="s">
        <v>476</v>
      </c>
      <c r="E45" s="1582" t="str">
        <f>'Бюд.р.'!D166</f>
        <v>002  06 01</v>
      </c>
      <c r="F45" s="1583"/>
      <c r="G45" s="2370">
        <f>SUM(G46:G49)</f>
        <v>24514.25</v>
      </c>
      <c r="H45" s="2370">
        <f>SUM(H46:H49)</f>
        <v>25739.9625</v>
      </c>
      <c r="I45" s="2372">
        <f>SUM(I46:I49)</f>
        <v>27026.960625000003</v>
      </c>
    </row>
    <row r="46" spans="1:9" ht="32.25" customHeight="1">
      <c r="A46" s="1629" t="s">
        <v>185</v>
      </c>
      <c r="B46" s="1657" t="str">
        <f>'Бюд.р.'!A166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46" s="1768">
        <v>968</v>
      </c>
      <c r="D46" s="1773" t="s">
        <v>476</v>
      </c>
      <c r="E46" s="1768" t="str">
        <f>'Бюд.р.'!D166</f>
        <v>002  06 01</v>
      </c>
      <c r="F46" s="1584">
        <f>'Бюд.р.'!F166</f>
        <v>100</v>
      </c>
      <c r="G46" s="2371">
        <f>'Бюд.р.'!H166</f>
        <v>19466.561</v>
      </c>
      <c r="H46" s="2398">
        <f>G46*1.05</f>
        <v>20439.88905</v>
      </c>
      <c r="I46" s="2398">
        <f>H46*1.05</f>
        <v>21461.8835025</v>
      </c>
    </row>
    <row r="47" spans="1:9" ht="12.75">
      <c r="A47" s="1629" t="s">
        <v>929</v>
      </c>
      <c r="B47" s="2373" t="str">
        <f>'Бюд.р.'!A172</f>
        <v>Закупка товаров, работ и услуг  для государственных (муниципальных) нужд</v>
      </c>
      <c r="C47" s="1768">
        <v>968</v>
      </c>
      <c r="D47" s="1773" t="s">
        <v>476</v>
      </c>
      <c r="E47" s="1768" t="str">
        <f>'Бюд.р.'!D173</f>
        <v>002  06 01</v>
      </c>
      <c r="F47" s="1584">
        <f>'Бюд.р.'!F172</f>
        <v>200</v>
      </c>
      <c r="G47" s="2371">
        <f>'Бюд.р.'!H172</f>
        <v>4975.189</v>
      </c>
      <c r="H47" s="2398">
        <f aca="true" t="shared" si="3" ref="H47:I49">G47*1.05</f>
        <v>5223.948450000001</v>
      </c>
      <c r="I47" s="2398">
        <f t="shared" si="3"/>
        <v>5485.145872500001</v>
      </c>
    </row>
    <row r="48" spans="1:9" ht="12.75">
      <c r="A48" s="1632"/>
      <c r="B48" s="2373" t="str">
        <f>'Бюд.р.'!A194</f>
        <v>Социальное обеспечение и иные выплаты населению</v>
      </c>
      <c r="C48" s="1768">
        <v>968</v>
      </c>
      <c r="D48" s="1773" t="s">
        <v>476</v>
      </c>
      <c r="E48" s="1768" t="str">
        <f>'Бюд.р.'!D194</f>
        <v>002  06 01</v>
      </c>
      <c r="F48" s="1584">
        <f>'Бюд.р.'!F194</f>
        <v>300</v>
      </c>
      <c r="G48" s="2371">
        <f>'Бюд.р.'!H194</f>
        <v>57.067</v>
      </c>
      <c r="H48" s="2398">
        <f t="shared" si="3"/>
        <v>59.920350000000006</v>
      </c>
      <c r="I48" s="2398">
        <f t="shared" si="3"/>
        <v>62.91636750000001</v>
      </c>
    </row>
    <row r="49" spans="1:9" ht="12.75">
      <c r="A49" s="1629" t="s">
        <v>33</v>
      </c>
      <c r="B49" s="2373" t="str">
        <f>'Бюд.р.'!A208</f>
        <v>Иные бюджетные ассигнования</v>
      </c>
      <c r="C49" s="1768">
        <v>968</v>
      </c>
      <c r="D49" s="1773" t="s">
        <v>476</v>
      </c>
      <c r="E49" s="1768" t="str">
        <f>'Бюд.р.'!D208</f>
        <v>002  06 01</v>
      </c>
      <c r="F49" s="1584">
        <f>'Бюд.р.'!F208</f>
        <v>800</v>
      </c>
      <c r="G49" s="2371">
        <f>'Бюд.р.'!H208</f>
        <v>15.433</v>
      </c>
      <c r="H49" s="2398">
        <f t="shared" si="3"/>
        <v>16.20465</v>
      </c>
      <c r="I49" s="2398">
        <f t="shared" si="3"/>
        <v>17.014882500000002</v>
      </c>
    </row>
    <row r="50" spans="1:9" ht="41.25" customHeight="1">
      <c r="A50" s="1630" t="s">
        <v>614</v>
      </c>
      <c r="B50" s="2308" t="str">
        <f>'Бюд.р.'!A215</f>
        <v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v>
      </c>
      <c r="C50" s="2304">
        <v>968</v>
      </c>
      <c r="D50" s="2305" t="s">
        <v>476</v>
      </c>
      <c r="E50" s="2304" t="str">
        <f>'Бюд.р.'!D215</f>
        <v>002  80 10</v>
      </c>
      <c r="F50" s="2306"/>
      <c r="G50" s="2370">
        <f>G51</f>
        <v>5.6</v>
      </c>
      <c r="H50" s="2372">
        <f>H51</f>
        <v>5.9</v>
      </c>
      <c r="I50" s="2372">
        <f>I51</f>
        <v>6.2</v>
      </c>
    </row>
    <row r="51" spans="1:9" ht="12.75">
      <c r="A51" s="1628" t="s">
        <v>615</v>
      </c>
      <c r="B51" s="1587" t="str">
        <f>'Бюд.р.'!A216</f>
        <v>Закупка товаров, работ и услуг  для государственных (муниципальных) нужд</v>
      </c>
      <c r="C51" s="1585">
        <v>968</v>
      </c>
      <c r="D51" s="1774" t="s">
        <v>476</v>
      </c>
      <c r="E51" s="1585" t="str">
        <f>'Бюд.р.'!D216</f>
        <v>002  80 10</v>
      </c>
      <c r="F51" s="1586">
        <f>'Бюд.р.'!F216</f>
        <v>200</v>
      </c>
      <c r="G51" s="2371">
        <f>'Бюд.р.'!H216</f>
        <v>5.6</v>
      </c>
      <c r="H51" s="2398">
        <v>5.9</v>
      </c>
      <c r="I51" s="2398">
        <v>6.2</v>
      </c>
    </row>
    <row r="52" spans="1:9" ht="12.75">
      <c r="A52" s="1629" t="s">
        <v>435</v>
      </c>
      <c r="B52" s="1659" t="s">
        <v>24</v>
      </c>
      <c r="C52" s="1604">
        <v>968</v>
      </c>
      <c r="D52" s="2296" t="s">
        <v>1239</v>
      </c>
      <c r="E52" s="1604"/>
      <c r="F52" s="1605"/>
      <c r="G52" s="1675">
        <f aca="true" t="shared" si="4" ref="G52:I53">G53</f>
        <v>2869.841</v>
      </c>
      <c r="H52" s="2327">
        <f t="shared" si="4"/>
        <v>3013.33305</v>
      </c>
      <c r="I52" s="2327">
        <f t="shared" si="4"/>
        <v>3163.9997025000002</v>
      </c>
    </row>
    <row r="53" spans="1:9" ht="12.75">
      <c r="A53" s="1630" t="s">
        <v>295</v>
      </c>
      <c r="B53" s="2308" t="s">
        <v>25</v>
      </c>
      <c r="C53" s="2304">
        <v>968</v>
      </c>
      <c r="D53" s="2305" t="s">
        <v>1239</v>
      </c>
      <c r="E53" s="2304" t="s">
        <v>26</v>
      </c>
      <c r="F53" s="2306"/>
      <c r="G53" s="1671">
        <f t="shared" si="4"/>
        <v>2869.841</v>
      </c>
      <c r="H53" s="2326">
        <f t="shared" si="4"/>
        <v>3013.33305</v>
      </c>
      <c r="I53" s="2326">
        <f t="shared" si="4"/>
        <v>3163.9997025000002</v>
      </c>
    </row>
    <row r="54" spans="1:9" ht="12.75">
      <c r="A54" s="1628" t="s">
        <v>672</v>
      </c>
      <c r="B54" s="1609" t="str">
        <f>'Бюд.р.'!A229</f>
        <v>Иные бюджетные ассигнования</v>
      </c>
      <c r="C54" s="1515">
        <v>968</v>
      </c>
      <c r="D54" s="2297" t="s">
        <v>1239</v>
      </c>
      <c r="E54" s="1515" t="str">
        <f>'Бюд.р.'!D229</f>
        <v>070 01 01</v>
      </c>
      <c r="F54" s="1596">
        <f>'Бюд.р.'!F229</f>
        <v>800</v>
      </c>
      <c r="G54" s="1674">
        <f>'Бюд.р.'!H229</f>
        <v>2869.841</v>
      </c>
      <c r="H54" s="2399">
        <f>G54*1.05</f>
        <v>3013.33305</v>
      </c>
      <c r="I54" s="2399">
        <f>H54*1.05</f>
        <v>3163.9997025000002</v>
      </c>
    </row>
    <row r="55" spans="1:9" ht="15" customHeight="1">
      <c r="A55" s="1629" t="s">
        <v>89</v>
      </c>
      <c r="B55" s="2300" t="s">
        <v>410</v>
      </c>
      <c r="C55" s="1611" t="s">
        <v>591</v>
      </c>
      <c r="D55" s="1781" t="s">
        <v>857</v>
      </c>
      <c r="E55" s="1782"/>
      <c r="F55" s="1843"/>
      <c r="G55" s="2299" t="e">
        <f>G56+G58+G60+G62+G64+G66+G68+G70+G72</f>
        <v>#REF!</v>
      </c>
      <c r="H55" s="2299" t="e">
        <f>H56+H58+H60+H62+H64+H66+H68+H70+H72</f>
        <v>#REF!</v>
      </c>
      <c r="I55" s="2299" t="e">
        <f>I56+I58+I60+I62+I64+I66+I68+I70+I72</f>
        <v>#REF!</v>
      </c>
    </row>
    <row r="56" spans="1:9" ht="28.5" customHeight="1">
      <c r="A56" s="1628" t="s">
        <v>737</v>
      </c>
      <c r="B56" s="2308" t="s">
        <v>939</v>
      </c>
      <c r="C56" s="2304" t="s">
        <v>591</v>
      </c>
      <c r="D56" s="2305" t="s">
        <v>857</v>
      </c>
      <c r="E56" s="2316" t="str">
        <f>'Бюд.р.'!D234</f>
        <v>090 01 00</v>
      </c>
      <c r="F56" s="2306"/>
      <c r="G56" s="1671">
        <f>G57</f>
        <v>0</v>
      </c>
      <c r="H56" s="2326">
        <f>H57</f>
        <v>0</v>
      </c>
      <c r="I56" s="2326">
        <f>I57</f>
        <v>0</v>
      </c>
    </row>
    <row r="57" spans="1:9" ht="12.75">
      <c r="A57" s="1629" t="s">
        <v>473</v>
      </c>
      <c r="B57" s="1609" t="str">
        <f>'Бюд.р.'!A235</f>
        <v>Закупка товаров, работ и услуг  для государственных (муниципальных) нужд</v>
      </c>
      <c r="C57" s="1515" t="s">
        <v>591</v>
      </c>
      <c r="D57" s="2297" t="s">
        <v>857</v>
      </c>
      <c r="E57" s="1515" t="str">
        <f>'Бюд.р.'!D235</f>
        <v>090 01 00</v>
      </c>
      <c r="F57" s="1596">
        <f>'Бюд.р.'!F235</f>
        <v>200</v>
      </c>
      <c r="G57" s="1674">
        <f>'Бюд.р.'!H235</f>
        <v>0</v>
      </c>
      <c r="H57" s="2399">
        <f>G57*1.05</f>
        <v>0</v>
      </c>
      <c r="I57" s="2399">
        <f>H57*1.05</f>
        <v>0</v>
      </c>
    </row>
    <row r="58" spans="1:9" ht="31.5" customHeight="1">
      <c r="A58" s="1628" t="s">
        <v>833</v>
      </c>
      <c r="B58" s="2308" t="str">
        <f>'Бюд.р.'!A247</f>
        <v>РАСХОДЫ НА ОСУЩЕСТВЛЕНИЕ ЗАКУПОК ТОВАРОВ, РАБОТ, УСЛУГ ДЛЯ ОБЕСПЕЧЕНИЯ МУНИЦИПАЛЬНЫХ НУЖД</v>
      </c>
      <c r="C58" s="2304">
        <v>968</v>
      </c>
      <c r="D58" s="2305" t="s">
        <v>857</v>
      </c>
      <c r="E58" s="2304" t="str">
        <f>E59</f>
        <v>092 02 00</v>
      </c>
      <c r="F58" s="2306"/>
      <c r="G58" s="1671">
        <f>G59</f>
        <v>120</v>
      </c>
      <c r="H58" s="2326">
        <f>H59</f>
        <v>126</v>
      </c>
      <c r="I58" s="2326">
        <f>I59</f>
        <v>132.3</v>
      </c>
    </row>
    <row r="59" spans="1:9" ht="12.75">
      <c r="A59" s="1629" t="s">
        <v>834</v>
      </c>
      <c r="B59" s="1609" t="str">
        <f>'Бюд.р.'!A248</f>
        <v>Закупка товаров, работ и услуг  для государственных (муниципальных) нужд</v>
      </c>
      <c r="C59" s="1515">
        <v>968</v>
      </c>
      <c r="D59" s="2297" t="s">
        <v>857</v>
      </c>
      <c r="E59" s="1515" t="str">
        <f>'Бюд.р.'!D248</f>
        <v>092 02 00</v>
      </c>
      <c r="F59" s="1596">
        <f>'Бюд.р.'!F248</f>
        <v>200</v>
      </c>
      <c r="G59" s="1674">
        <f>'Бюд.р.'!H248</f>
        <v>120</v>
      </c>
      <c r="H59" s="2399">
        <f>G59*1.05</f>
        <v>126</v>
      </c>
      <c r="I59" s="2399">
        <f>H59*1.05</f>
        <v>132.3</v>
      </c>
    </row>
    <row r="60" spans="1:9" ht="33.75">
      <c r="A60" s="1628" t="s">
        <v>835</v>
      </c>
      <c r="B60" s="2308" t="str">
        <f>'Бюд.р.'!A252</f>
        <v>УПЛАТА ЧЛЕНСКИХ ВЗНОСОВ НА ОСУЩЕСТВЛЕНИЕ ДЕЯТЕЛЬНОСТИ СОВЕТА МУНИЦИПАЛЬНЫХ ОБРАЗОВАНИЙ САНКТ-ПЕТЕРБУРГА И СОДЕРЖАНИЕ ЕГО ОРГАНОВ</v>
      </c>
      <c r="C60" s="2304">
        <v>968</v>
      </c>
      <c r="D60" s="2305" t="s">
        <v>857</v>
      </c>
      <c r="E60" s="2304" t="str">
        <f>'Бюд.р.'!D252</f>
        <v>092 05 00</v>
      </c>
      <c r="F60" s="2306"/>
      <c r="G60" s="1671">
        <f>G61</f>
        <v>72</v>
      </c>
      <c r="H60" s="2326">
        <f>H61</f>
        <v>75.60000000000001</v>
      </c>
      <c r="I60" s="2326">
        <f>I61</f>
        <v>79.38000000000001</v>
      </c>
    </row>
    <row r="61" spans="1:9" ht="15.75" customHeight="1">
      <c r="A61" s="1633" t="s">
        <v>836</v>
      </c>
      <c r="B61" s="1609" t="str">
        <f>'Бюд.р.'!A253</f>
        <v>Иные бюджетные ассигнования</v>
      </c>
      <c r="C61" s="1515" t="s">
        <v>591</v>
      </c>
      <c r="D61" s="2297" t="s">
        <v>857</v>
      </c>
      <c r="E61" s="1515" t="str">
        <f>'Бюд.р.'!D253</f>
        <v>092 05 00</v>
      </c>
      <c r="F61" s="1596">
        <f>'Бюд.р.'!F253</f>
        <v>800</v>
      </c>
      <c r="G61" s="1674">
        <f>'Бюд.р.'!H253</f>
        <v>72</v>
      </c>
      <c r="H61" s="2399">
        <f>G61*1.05</f>
        <v>75.60000000000001</v>
      </c>
      <c r="I61" s="2399">
        <f>H61*1.05</f>
        <v>79.38000000000001</v>
      </c>
    </row>
    <row r="62" spans="1:9" ht="48" customHeight="1">
      <c r="A62" s="1628" t="s">
        <v>897</v>
      </c>
      <c r="B62" s="2308" t="str">
        <f>'Бюд.р.'!A257</f>
        <v>ОРГАНИЗАЦИЯ ИНФОРМИРОВАНИЯ,КОНСУЛЬТИРОВАНИЯ И СОДЕЙСТВИЯ ЖИТЕЛЯМ МУНИЦИПАЛЬНОГО ОБРАЗОВАНИЯ ПО ВОПРОСАМ СОЗДАНИЯ ТСЖ, ФОРМИРОВАНИЯ ЗЕМЕЛЬНЫХ УЧАСТКОВ, НА КОТОРЫХ РАСПОЛОЖЕНЫ МНОГОКВАРТИРНЫЕ ДОМА</v>
      </c>
      <c r="C62" s="2304">
        <v>968</v>
      </c>
      <c r="D62" s="2305" t="s">
        <v>857</v>
      </c>
      <c r="E62" s="2304" t="str">
        <f>E63</f>
        <v>092 06 00</v>
      </c>
      <c r="F62" s="2306"/>
      <c r="G62" s="1671">
        <f>G63</f>
        <v>144</v>
      </c>
      <c r="H62" s="2326">
        <f>H63</f>
        <v>151.20000000000002</v>
      </c>
      <c r="I62" s="2326">
        <f>I63</f>
        <v>158.76000000000002</v>
      </c>
    </row>
    <row r="63" spans="1:9" ht="15" customHeight="1">
      <c r="A63" s="1633" t="s">
        <v>898</v>
      </c>
      <c r="B63" s="1609" t="str">
        <f>'Бюд.р.'!A258</f>
        <v>Закупка товаров, работ и услуг  для государственных (муниципальных) нужд</v>
      </c>
      <c r="C63" s="1515">
        <v>968</v>
      </c>
      <c r="D63" s="2297" t="s">
        <v>857</v>
      </c>
      <c r="E63" s="1515" t="str">
        <f>'Бюд.р.'!D258</f>
        <v>092 06 00</v>
      </c>
      <c r="F63" s="1596">
        <f>'Бюд.р.'!F258</f>
        <v>200</v>
      </c>
      <c r="G63" s="1674">
        <f>'Бюд.р.'!H258</f>
        <v>144</v>
      </c>
      <c r="H63" s="2399">
        <f>G63*1.05</f>
        <v>151.20000000000002</v>
      </c>
      <c r="I63" s="2399">
        <f>H63*1.05</f>
        <v>158.76000000000002</v>
      </c>
    </row>
    <row r="64" spans="1:9" ht="20.25" customHeight="1">
      <c r="A64" s="1632" t="s">
        <v>1027</v>
      </c>
      <c r="B64" s="2308" t="str">
        <f>'Бюд.р.'!A262</f>
        <v>РАСХОДЫ НА ПОДДЕРЖАНИЕ САЙТА МО МО ОЗЕРО ДОЛГОЕ</v>
      </c>
      <c r="C64" s="2304">
        <f>'Бюд.р.'!B262</f>
        <v>968</v>
      </c>
      <c r="D64" s="2305" t="s">
        <v>857</v>
      </c>
      <c r="E64" s="2304" t="str">
        <f>E65</f>
        <v>092 08 00</v>
      </c>
      <c r="F64" s="2306"/>
      <c r="G64" s="1671">
        <f>G65</f>
        <v>0</v>
      </c>
      <c r="H64" s="2326">
        <f>H65</f>
        <v>0</v>
      </c>
      <c r="I64" s="2326">
        <f>I65</f>
        <v>0</v>
      </c>
    </row>
    <row r="65" spans="1:9" ht="14.25" customHeight="1">
      <c r="A65" s="1629" t="s">
        <v>1028</v>
      </c>
      <c r="B65" s="1609" t="str">
        <f>'Бюд.р.'!A263</f>
        <v>Закупка товаров, работ и услуг  для государственных (муниципальных) нужд</v>
      </c>
      <c r="C65" s="1515">
        <v>968</v>
      </c>
      <c r="D65" s="2297" t="s">
        <v>857</v>
      </c>
      <c r="E65" s="1515" t="str">
        <f>'Бюд.р.'!D263</f>
        <v>092 08 00</v>
      </c>
      <c r="F65" s="1596">
        <f>'Бюд.р.'!F263</f>
        <v>200</v>
      </c>
      <c r="G65" s="1674">
        <f>'Бюд.р.'!H263</f>
        <v>0</v>
      </c>
      <c r="H65" s="2399">
        <f>G65*1.05</f>
        <v>0</v>
      </c>
      <c r="I65" s="2399">
        <f>H65*1.05</f>
        <v>0</v>
      </c>
    </row>
    <row r="66" spans="1:9" ht="12.75">
      <c r="A66" s="1628" t="s">
        <v>1029</v>
      </c>
      <c r="B66" s="2308" t="e">
        <f>'Бюд.р.'!#REF!</f>
        <v>#REF!</v>
      </c>
      <c r="C66" s="2304">
        <v>968</v>
      </c>
      <c r="D66" s="2305" t="s">
        <v>857</v>
      </c>
      <c r="E66" s="2304" t="e">
        <f>'Бюд.р.'!#REF!</f>
        <v>#REF!</v>
      </c>
      <c r="F66" s="2306"/>
      <c r="G66" s="1671" t="e">
        <f>G67</f>
        <v>#REF!</v>
      </c>
      <c r="H66" s="1671" t="e">
        <f>H67</f>
        <v>#REF!</v>
      </c>
      <c r="I66" s="2326" t="e">
        <f>I67</f>
        <v>#REF!</v>
      </c>
    </row>
    <row r="67" spans="1:9" ht="13.5" thickBot="1">
      <c r="A67" s="2301"/>
      <c r="B67" s="1609" t="e">
        <f>'Бюд.р.'!#REF!</f>
        <v>#REF!</v>
      </c>
      <c r="C67" s="1515">
        <v>968</v>
      </c>
      <c r="D67" s="2297" t="s">
        <v>857</v>
      </c>
      <c r="E67" s="1515" t="e">
        <f>'Бюд.р.'!#REF!</f>
        <v>#REF!</v>
      </c>
      <c r="F67" s="1596" t="e">
        <f>'Бюд.р.'!#REF!</f>
        <v>#REF!</v>
      </c>
      <c r="G67" s="1674" t="e">
        <f>'Бюд.р.'!#REF!</f>
        <v>#REF!</v>
      </c>
      <c r="H67" s="2367" t="e">
        <f>G67*1.05</f>
        <v>#REF!</v>
      </c>
      <c r="I67" s="2367" t="e">
        <f>H67*1.05</f>
        <v>#REF!</v>
      </c>
    </row>
    <row r="68" spans="1:9" ht="23.25" thickBot="1">
      <c r="A68" s="1626" t="s">
        <v>608</v>
      </c>
      <c r="B68" s="2308" t="str">
        <f>'Бюд.р.'!A273</f>
        <v>Ведомственная целевая программа  по участию в деятельности по профилактике правонарушений в Санкт-Петербурге на территории МО</v>
      </c>
      <c r="C68" s="2304">
        <v>968</v>
      </c>
      <c r="D68" s="2305" t="s">
        <v>857</v>
      </c>
      <c r="E68" s="2304" t="str">
        <f>'Бюд.р.'!D273</f>
        <v>795 02 00</v>
      </c>
      <c r="F68" s="2306"/>
      <c r="G68" s="1671">
        <f>G69</f>
        <v>80.642</v>
      </c>
      <c r="H68" s="1671">
        <f>H69</f>
        <v>84.6741</v>
      </c>
      <c r="I68" s="2326">
        <f>I69</f>
        <v>88.907805</v>
      </c>
    </row>
    <row r="69" spans="1:9" ht="12.75">
      <c r="A69" s="2302"/>
      <c r="B69" s="1609" t="str">
        <f>'Бюд.р.'!A274</f>
        <v>Закупка товаров, работ и услуг  для государственных (муниципальных) нужд</v>
      </c>
      <c r="C69" s="1515">
        <v>968</v>
      </c>
      <c r="D69" s="2297" t="s">
        <v>857</v>
      </c>
      <c r="E69" s="1515" t="str">
        <f>'Бюд.р.'!D274</f>
        <v>795 02 00</v>
      </c>
      <c r="F69" s="1596">
        <f>'Бюд.р.'!F274</f>
        <v>200</v>
      </c>
      <c r="G69" s="1674">
        <f>'Бюд.р.'!H274</f>
        <v>80.642</v>
      </c>
      <c r="H69" s="2367">
        <f>G69*1.05</f>
        <v>84.6741</v>
      </c>
      <c r="I69" s="2367">
        <f>H69*1.05</f>
        <v>88.907805</v>
      </c>
    </row>
    <row r="70" spans="1:9" ht="12.75">
      <c r="A70" s="1627" t="s">
        <v>296</v>
      </c>
      <c r="B70" s="2308" t="str">
        <f>'Бюд.р.'!A268</f>
        <v>РАСХОДЫ НА ОСУЩЕСТВЛЕНИЕ ЗАЩИТЫ ПРАВ ПОТРЕБИТЕЛЕЙ</v>
      </c>
      <c r="C70" s="2304">
        <v>968</v>
      </c>
      <c r="D70" s="2305" t="s">
        <v>857</v>
      </c>
      <c r="E70" s="2304" t="str">
        <f>E71</f>
        <v>092 10 00</v>
      </c>
      <c r="F70" s="2306"/>
      <c r="G70" s="1671">
        <f>G71</f>
        <v>44.999999999999986</v>
      </c>
      <c r="H70" s="1671">
        <f>H71</f>
        <v>47.249999999999986</v>
      </c>
      <c r="I70" s="2326">
        <f>I71</f>
        <v>49.61249999999999</v>
      </c>
    </row>
    <row r="71" spans="1:9" ht="12.75">
      <c r="A71" s="1627"/>
      <c r="B71" s="1587" t="str">
        <f>'Бюд.р.'!A269</f>
        <v>Закупка товаров, работ и услуг  для государственных (муниципальных) нужд</v>
      </c>
      <c r="C71" s="1585">
        <v>968</v>
      </c>
      <c r="D71" s="1774" t="s">
        <v>857</v>
      </c>
      <c r="E71" s="1585" t="str">
        <f>'Бюд.р.'!D269</f>
        <v>092 10 00</v>
      </c>
      <c r="F71" s="1586">
        <f>'Бюд.р.'!F269</f>
        <v>200</v>
      </c>
      <c r="G71" s="2371">
        <f>'Бюд.р.'!H269</f>
        <v>44.999999999999986</v>
      </c>
      <c r="H71" s="2398">
        <f>G71*1.05</f>
        <v>47.249999999999986</v>
      </c>
      <c r="I71" s="2398">
        <f>H71*1.05</f>
        <v>49.61249999999999</v>
      </c>
    </row>
    <row r="72" spans="1:9" ht="48" customHeight="1">
      <c r="A72" s="1627"/>
      <c r="B72" s="2308" t="str">
        <f>'Бюд.р.'!A280</f>
        <v>Ведомственная целевая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и информировании населения о вреде потребления табака и вредном воздействии окружающего табачного дыма</v>
      </c>
      <c r="C72" s="2304">
        <v>968</v>
      </c>
      <c r="D72" s="2305" t="s">
        <v>857</v>
      </c>
      <c r="E72" s="2304" t="str">
        <f>E73</f>
        <v>795 11 00</v>
      </c>
      <c r="F72" s="2306"/>
      <c r="G72" s="1671">
        <f>G73</f>
        <v>103.65199999999999</v>
      </c>
      <c r="H72" s="1671">
        <f>H73</f>
        <v>108.8346</v>
      </c>
      <c r="I72" s="2326">
        <f>I73</f>
        <v>114.27633</v>
      </c>
    </row>
    <row r="73" spans="1:9" ht="15" customHeight="1">
      <c r="A73" s="1627"/>
      <c r="B73" s="1587" t="str">
        <f>'Бюд.р.'!A281</f>
        <v>Закупка товаров, работ и услуг  для государственных (муниципальных) нужд</v>
      </c>
      <c r="C73" s="1585">
        <v>968</v>
      </c>
      <c r="D73" s="1774" t="s">
        <v>857</v>
      </c>
      <c r="E73" s="1585" t="str">
        <f>'Бюд.р.'!D281</f>
        <v>795 11 00</v>
      </c>
      <c r="F73" s="1586">
        <f>'Бюд.р.'!F281</f>
        <v>200</v>
      </c>
      <c r="G73" s="2371">
        <f>'Бюд.р.'!H281</f>
        <v>103.65199999999999</v>
      </c>
      <c r="H73" s="2400">
        <f>G73*1.05</f>
        <v>108.8346</v>
      </c>
      <c r="I73" s="2398">
        <f>H73*1.05</f>
        <v>114.27633</v>
      </c>
    </row>
    <row r="74" spans="1:9" ht="24">
      <c r="A74" s="1628" t="s">
        <v>673</v>
      </c>
      <c r="B74" s="1653" t="s">
        <v>227</v>
      </c>
      <c r="C74" s="1604" t="s">
        <v>591</v>
      </c>
      <c r="D74" s="2296" t="s">
        <v>469</v>
      </c>
      <c r="E74" s="1604"/>
      <c r="F74" s="1666"/>
      <c r="G74" s="1675">
        <f>G75</f>
        <v>227.635</v>
      </c>
      <c r="H74" s="1675">
        <f>H75</f>
        <v>239.01675</v>
      </c>
      <c r="I74" s="2327">
        <f>I75</f>
        <v>250.96758749999998</v>
      </c>
    </row>
    <row r="75" spans="1:9" ht="25.5" customHeight="1">
      <c r="A75" s="1634"/>
      <c r="B75" s="1653" t="str">
        <f>'Рас.Пр.3'!B57</f>
        <v>Защита населения и территории от чрезвычайных ситуаций природного и техногенного характера, гражданская оборона</v>
      </c>
      <c r="C75" s="1604">
        <v>968</v>
      </c>
      <c r="D75" s="2296" t="s">
        <v>408</v>
      </c>
      <c r="E75" s="1604"/>
      <c r="F75" s="1666"/>
      <c r="G75" s="1675">
        <f>G76+G78</f>
        <v>227.635</v>
      </c>
      <c r="H75" s="1675">
        <f>H76+H78</f>
        <v>239.01675</v>
      </c>
      <c r="I75" s="2327">
        <f>I76+I78</f>
        <v>250.96758749999998</v>
      </c>
    </row>
    <row r="76" spans="1:9" ht="95.25" customHeight="1">
      <c r="A76" s="1634" t="s">
        <v>90</v>
      </c>
      <c r="B76" s="2303" t="str">
        <f>'Бюд.р.'!A288</f>
        <v>Ведомственная целевая программа  по осуществлению содействия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ЧС, а также содействия в информировании населения  об угрозе возникновения или возникновении чрезвычайной ситуации; по проведению подготовки и обучения неработающего населения способам защиты и действиям в чрезвычайных ситуациях, а так же способам защиты от опасностей, возникающих при ведении военных действий или вследствие этих действий</v>
      </c>
      <c r="C76" s="2304" t="s">
        <v>591</v>
      </c>
      <c r="D76" s="2305" t="s">
        <v>408</v>
      </c>
      <c r="E76" s="2304" t="str">
        <f>E77</f>
        <v>795 03 00</v>
      </c>
      <c r="F76" s="2306"/>
      <c r="G76" s="1671">
        <f>G77</f>
        <v>141.993</v>
      </c>
      <c r="H76" s="1671">
        <f>H77</f>
        <v>149.09265</v>
      </c>
      <c r="I76" s="2326">
        <f>I77</f>
        <v>156.5472825</v>
      </c>
    </row>
    <row r="77" spans="1:9" ht="20.25" customHeight="1" thickBot="1">
      <c r="A77" s="2301"/>
      <c r="B77" s="1654" t="str">
        <f>'Бюд.р.'!A289</f>
        <v>Закупка товаров, работ и услуг  для государственных (муниципальных) нужд</v>
      </c>
      <c r="C77" s="1515">
        <v>968</v>
      </c>
      <c r="D77" s="2297" t="s">
        <v>408</v>
      </c>
      <c r="E77" s="1515" t="str">
        <f>'Бюд.р.'!D289</f>
        <v>795 03 00</v>
      </c>
      <c r="F77" s="1596">
        <f>'Бюд.р.'!F289</f>
        <v>200</v>
      </c>
      <c r="G77" s="1674">
        <f>'Бюд.р.'!H289</f>
        <v>141.993</v>
      </c>
      <c r="H77" s="2367">
        <f>G77*1.05</f>
        <v>149.09265</v>
      </c>
      <c r="I77" s="2367">
        <f>H77*1.05</f>
        <v>156.5472825</v>
      </c>
    </row>
    <row r="78" spans="1:9" ht="34.5" thickBot="1">
      <c r="A78" s="1626" t="s">
        <v>609</v>
      </c>
      <c r="B78" s="2308" t="s">
        <v>949</v>
      </c>
      <c r="C78" s="2304">
        <v>968</v>
      </c>
      <c r="D78" s="2305">
        <v>309</v>
      </c>
      <c r="E78" s="2304" t="str">
        <f>E79</f>
        <v>795 05 00</v>
      </c>
      <c r="F78" s="2306"/>
      <c r="G78" s="1671">
        <f>G79</f>
        <v>85.642</v>
      </c>
      <c r="H78" s="1671">
        <f>H79</f>
        <v>89.9241</v>
      </c>
      <c r="I78" s="2326">
        <f>I79</f>
        <v>94.420305</v>
      </c>
    </row>
    <row r="79" spans="1:9" ht="12.75">
      <c r="A79" s="2302"/>
      <c r="B79" s="1609" t="str">
        <f>'Бюд.р.'!A310</f>
        <v>Закупка товаров, работ и услуг  для государственных (муниципальных) нужд</v>
      </c>
      <c r="C79" s="1515">
        <v>968</v>
      </c>
      <c r="D79" s="2297" t="s">
        <v>408</v>
      </c>
      <c r="E79" s="1515" t="str">
        <f>'Бюд.р.'!D310</f>
        <v>795 05 00</v>
      </c>
      <c r="F79" s="1596">
        <f>'Бюд.р.'!F310</f>
        <v>200</v>
      </c>
      <c r="G79" s="1670">
        <f>'Бюд.р.'!H310</f>
        <v>85.642</v>
      </c>
      <c r="H79" s="2395">
        <f>G79*1.05</f>
        <v>89.9241</v>
      </c>
      <c r="I79" s="2395">
        <f>H79*1.05</f>
        <v>94.420305</v>
      </c>
    </row>
    <row r="80" spans="1:10" ht="15.75" customHeight="1">
      <c r="A80" s="1628" t="s">
        <v>98</v>
      </c>
      <c r="B80" s="1653" t="s">
        <v>817</v>
      </c>
      <c r="C80" s="1604" t="s">
        <v>591</v>
      </c>
      <c r="D80" s="2296" t="s">
        <v>829</v>
      </c>
      <c r="E80" s="1604"/>
      <c r="F80" s="1666"/>
      <c r="G80" s="1675">
        <f>G81+G84</f>
        <v>172.414</v>
      </c>
      <c r="H80" s="1675">
        <f>H81+H84</f>
        <v>181.0347</v>
      </c>
      <c r="I80" s="2327">
        <f>I81+I84</f>
        <v>190.086435</v>
      </c>
      <c r="J80" s="1612"/>
    </row>
    <row r="81" spans="1:10" ht="13.5" customHeight="1">
      <c r="A81" s="1635" t="s">
        <v>1033</v>
      </c>
      <c r="B81" s="2307" t="s">
        <v>866</v>
      </c>
      <c r="C81" s="1611">
        <v>968</v>
      </c>
      <c r="D81" s="1781" t="s">
        <v>1240</v>
      </c>
      <c r="E81" s="1611"/>
      <c r="F81" s="1667"/>
      <c r="G81" s="2299">
        <f aca="true" t="shared" si="5" ref="G81:I82">G82</f>
        <v>152.414</v>
      </c>
      <c r="H81" s="1676">
        <f t="shared" si="5"/>
        <v>160.0347</v>
      </c>
      <c r="I81" s="1676">
        <f t="shared" si="5"/>
        <v>168.03643499999998</v>
      </c>
      <c r="J81" s="1613"/>
    </row>
    <row r="82" spans="1:10" ht="22.5">
      <c r="A82" s="1627" t="s">
        <v>740</v>
      </c>
      <c r="B82" s="2308" t="str">
        <f>'Бюд.р.'!A317</f>
        <v>ВРЕМЕННОЕ ТРУДОУСТРОЙСТВО НЕСОВЕРШЕННОЛЕТНИХ В ВОЗРАСТЕ ОТ 14 ДО 18 ЛЕТ В СВОБОДНОЕ ОТ УЧЕБЫ ВРЕМЯ</v>
      </c>
      <c r="C82" s="2304">
        <v>968</v>
      </c>
      <c r="D82" s="2305" t="s">
        <v>1240</v>
      </c>
      <c r="E82" s="2304" t="str">
        <f>E83</f>
        <v>510 02 00</v>
      </c>
      <c r="F82" s="2306"/>
      <c r="G82" s="1671">
        <f>G83</f>
        <v>152.414</v>
      </c>
      <c r="H82" s="1671">
        <f t="shared" si="5"/>
        <v>160.0347</v>
      </c>
      <c r="I82" s="2326">
        <f t="shared" si="5"/>
        <v>168.03643499999998</v>
      </c>
      <c r="J82" s="1613"/>
    </row>
    <row r="83" spans="1:10" ht="18" customHeight="1">
      <c r="A83" s="1628" t="s">
        <v>91</v>
      </c>
      <c r="B83" s="1609" t="str">
        <f>'Бюд.р.'!A318</f>
        <v>Иные бюджетные ассигнования</v>
      </c>
      <c r="C83" s="1515">
        <v>968</v>
      </c>
      <c r="D83" s="2297" t="s">
        <v>1240</v>
      </c>
      <c r="E83" s="1515" t="str">
        <f>'Бюд.р.'!D318</f>
        <v>510 02 00</v>
      </c>
      <c r="F83" s="1596">
        <f>'Бюд.р.'!F318</f>
        <v>800</v>
      </c>
      <c r="G83" s="1674">
        <f>'Бюд.р.'!H318</f>
        <v>152.414</v>
      </c>
      <c r="H83" s="2399">
        <f>G83*1.05</f>
        <v>160.0347</v>
      </c>
      <c r="I83" s="2399">
        <f>H83*1.05</f>
        <v>168.03643499999998</v>
      </c>
      <c r="J83" s="1613"/>
    </row>
    <row r="84" spans="1:10" ht="12.75" customHeight="1" thickBot="1">
      <c r="A84" s="1633" t="s">
        <v>1034</v>
      </c>
      <c r="B84" s="1655" t="s">
        <v>818</v>
      </c>
      <c r="C84" s="1515" t="s">
        <v>591</v>
      </c>
      <c r="D84" s="2297" t="s">
        <v>828</v>
      </c>
      <c r="E84" s="1515"/>
      <c r="F84" s="1596"/>
      <c r="G84" s="1674">
        <f aca="true" t="shared" si="6" ref="G84:I85">G85</f>
        <v>20</v>
      </c>
      <c r="H84" s="2367">
        <f t="shared" si="6"/>
        <v>21</v>
      </c>
      <c r="I84" s="2367">
        <f t="shared" si="6"/>
        <v>22.05</v>
      </c>
      <c r="J84" s="1614"/>
    </row>
    <row r="85" spans="1:10" ht="20.25" customHeight="1" thickBot="1">
      <c r="A85" s="1626" t="s">
        <v>610</v>
      </c>
      <c r="B85" s="2308" t="str">
        <f>'Бюд.р.'!A328</f>
        <v>Ведомственная целевая программа по содействия развитию малого бизнеса на территории МО</v>
      </c>
      <c r="C85" s="1611">
        <v>968</v>
      </c>
      <c r="D85" s="1781" t="s">
        <v>828</v>
      </c>
      <c r="E85" s="1611" t="str">
        <f>E86</f>
        <v>795 07 00</v>
      </c>
      <c r="F85" s="1667"/>
      <c r="G85" s="2299">
        <f>G86</f>
        <v>20</v>
      </c>
      <c r="H85" s="1676">
        <f t="shared" si="6"/>
        <v>21</v>
      </c>
      <c r="I85" s="1676">
        <f t="shared" si="6"/>
        <v>22.05</v>
      </c>
      <c r="J85" s="1614"/>
    </row>
    <row r="86" spans="1:9" ht="12.75">
      <c r="A86" s="1627" t="s">
        <v>371</v>
      </c>
      <c r="B86" s="1609" t="str">
        <f>'Бюд.р.'!A329</f>
        <v>Закупка товаров, работ и услуг  для государственных (муниципальных) нужд</v>
      </c>
      <c r="C86" s="1515">
        <v>968</v>
      </c>
      <c r="D86" s="2297">
        <v>412</v>
      </c>
      <c r="E86" s="1515" t="str">
        <f>'Бюд.р.'!D329</f>
        <v>795 07 00</v>
      </c>
      <c r="F86" s="1596">
        <f>'Бюд.р.'!F329</f>
        <v>200</v>
      </c>
      <c r="G86" s="1674">
        <f>'Бюд.р.'!H329</f>
        <v>20</v>
      </c>
      <c r="H86" s="2399">
        <f>G86*1.05</f>
        <v>21</v>
      </c>
      <c r="I86" s="2399">
        <f>H86*1.05</f>
        <v>22.05</v>
      </c>
    </row>
    <row r="87" spans="1:9" ht="12.75">
      <c r="A87" s="1636" t="s">
        <v>92</v>
      </c>
      <c r="B87" s="1653" t="s">
        <v>229</v>
      </c>
      <c r="C87" s="1604" t="s">
        <v>591</v>
      </c>
      <c r="D87" s="2296" t="s">
        <v>394</v>
      </c>
      <c r="E87" s="1604"/>
      <c r="F87" s="1605"/>
      <c r="G87" s="1675">
        <f>G88</f>
        <v>49835.210999999996</v>
      </c>
      <c r="H87" s="1675">
        <f>H88</f>
        <v>52326.97155</v>
      </c>
      <c r="I87" s="2327">
        <f>I88</f>
        <v>54943.3201275</v>
      </c>
    </row>
    <row r="88" spans="1:9" ht="16.5" customHeight="1">
      <c r="A88" s="1628" t="s">
        <v>93</v>
      </c>
      <c r="B88" s="2298" t="s">
        <v>395</v>
      </c>
      <c r="C88" s="1611" t="s">
        <v>591</v>
      </c>
      <c r="D88" s="1781" t="s">
        <v>396</v>
      </c>
      <c r="E88" s="1611"/>
      <c r="F88" s="1667"/>
      <c r="G88" s="2299">
        <f>G89+G91+G93+G95+G97+G99+G101+G103+G105+G107</f>
        <v>49835.210999999996</v>
      </c>
      <c r="H88" s="2299">
        <f>H89+H91+H93+H95+H97+H99+H101+H103+H105+H107</f>
        <v>52326.97155</v>
      </c>
      <c r="I88" s="1676">
        <f>I89+I91+I93+I95+I97+I99+I101+I103+I105+I107</f>
        <v>54943.3201275</v>
      </c>
    </row>
    <row r="89" spans="1:9" ht="22.5">
      <c r="A89" s="1628" t="s">
        <v>870</v>
      </c>
      <c r="B89" s="2374" t="str">
        <f>'Бюд.р.'!A336</f>
        <v>ТЕКУЩИЙ РЕМОНТ ПРИДОМОВЫХ ТЕРРИТОРИЙ И ДВОРОВЫХ ТЕРРИТОРИЙ , ВКЛЮЧАЯ ПРОЕЗДЫ И ВЪЕЗДЫ,ПЕШЕХОДНЫЕ ДОРОЖКИ</v>
      </c>
      <c r="C89" s="2304" t="s">
        <v>591</v>
      </c>
      <c r="D89" s="2305" t="s">
        <v>396</v>
      </c>
      <c r="E89" s="2304" t="str">
        <f>E90</f>
        <v>600 01 01</v>
      </c>
      <c r="F89" s="2306"/>
      <c r="G89" s="1671">
        <f>G90</f>
        <v>32325.856</v>
      </c>
      <c r="H89" s="1671">
        <f>H90</f>
        <v>33942.1488</v>
      </c>
      <c r="I89" s="2326">
        <f>I90</f>
        <v>35639.25624</v>
      </c>
    </row>
    <row r="90" spans="1:9" ht="12" customHeight="1">
      <c r="A90" s="1629" t="s">
        <v>871</v>
      </c>
      <c r="B90" s="1609" t="str">
        <f>'Бюд.р.'!A337</f>
        <v>Закупка товаров, работ и услуг  для государственных (муниципальных) нужд</v>
      </c>
      <c r="C90" s="1515" t="s">
        <v>591</v>
      </c>
      <c r="D90" s="2297" t="s">
        <v>396</v>
      </c>
      <c r="E90" s="1515" t="str">
        <f>'Бюд.р.'!D337</f>
        <v>600 01 01</v>
      </c>
      <c r="F90" s="1596">
        <f>'Бюд.р.'!F337</f>
        <v>200</v>
      </c>
      <c r="G90" s="1670">
        <f>'Бюд.р.'!H337</f>
        <v>32325.856</v>
      </c>
      <c r="H90" s="2396">
        <f>G90*1.05</f>
        <v>33942.1488</v>
      </c>
      <c r="I90" s="2396">
        <f>H90*1.05</f>
        <v>35639.25624</v>
      </c>
    </row>
    <row r="91" spans="1:9" ht="27.75" customHeight="1">
      <c r="A91" s="1628" t="s">
        <v>872</v>
      </c>
      <c r="B91" s="2374" t="str">
        <f>'Бюд.р.'!A346</f>
        <v>ОРГАНИЗАЦИЯ ДОПОЛНИТЕЛЬНЫХ  ПАРКОВОЧНЫХ МЕСТ НА ДВОРОВЫХ ТЕРРИТОРИЯХ</v>
      </c>
      <c r="C91" s="2304" t="s">
        <v>591</v>
      </c>
      <c r="D91" s="2305" t="s">
        <v>396</v>
      </c>
      <c r="E91" s="2304" t="str">
        <f>E92</f>
        <v>600 01 02</v>
      </c>
      <c r="F91" s="2306"/>
      <c r="G91" s="1671">
        <f>G92</f>
        <v>369.69800000000004</v>
      </c>
      <c r="H91" s="1671">
        <f>H92</f>
        <v>388.1829000000001</v>
      </c>
      <c r="I91" s="2326">
        <f>I92</f>
        <v>407.5920450000001</v>
      </c>
    </row>
    <row r="92" spans="1:9" ht="12.75" customHeight="1">
      <c r="A92" s="1629" t="s">
        <v>873</v>
      </c>
      <c r="B92" s="1609" t="str">
        <f>'Бюд.р.'!A347</f>
        <v>Закупка товаров, работ и услуг  для государственных (муниципальных) нужд</v>
      </c>
      <c r="C92" s="1515" t="s">
        <v>591</v>
      </c>
      <c r="D92" s="2297" t="s">
        <v>396</v>
      </c>
      <c r="E92" s="1515" t="str">
        <f>'Бюд.р.'!D347</f>
        <v>600 01 02</v>
      </c>
      <c r="F92" s="1596">
        <f>'Бюд.р.'!F347</f>
        <v>200</v>
      </c>
      <c r="G92" s="1670">
        <f>'Бюд.р.'!H347</f>
        <v>369.69800000000004</v>
      </c>
      <c r="H92" s="2396">
        <f>G92*1.05</f>
        <v>388.1829000000001</v>
      </c>
      <c r="I92" s="2396">
        <f>H92*1.05</f>
        <v>407.5920450000001</v>
      </c>
    </row>
    <row r="93" spans="1:9" ht="12.75">
      <c r="A93" s="1628" t="s">
        <v>968</v>
      </c>
      <c r="B93" s="2375" t="str">
        <f>'Бюд.р.'!A351</f>
        <v>УСТАНОВКА,СОДЕРЖАНИЕ И РЕМОНТ ОГРАЖДЕНИЙ ГАЗОНОВ </v>
      </c>
      <c r="C93" s="2304" t="s">
        <v>591</v>
      </c>
      <c r="D93" s="2305" t="s">
        <v>396</v>
      </c>
      <c r="E93" s="2304" t="str">
        <f>E94</f>
        <v>600 01 03</v>
      </c>
      <c r="F93" s="2306"/>
      <c r="G93" s="1671">
        <f>G94</f>
        <v>2318.251</v>
      </c>
      <c r="H93" s="1671">
        <f>H94</f>
        <v>2434.16355</v>
      </c>
      <c r="I93" s="2326">
        <f>I94</f>
        <v>2555.8717275000004</v>
      </c>
    </row>
    <row r="94" spans="1:9" ht="14.25" customHeight="1">
      <c r="A94" s="1629" t="s">
        <v>969</v>
      </c>
      <c r="B94" s="1609" t="str">
        <f>'Бюд.р.'!A352</f>
        <v>Закупка товаров, работ и услуг  для государственных (муниципальных) нужд</v>
      </c>
      <c r="C94" s="1515" t="s">
        <v>591</v>
      </c>
      <c r="D94" s="2297" t="s">
        <v>396</v>
      </c>
      <c r="E94" s="1515" t="str">
        <f>'Бюд.р.'!D352</f>
        <v>600 01 03</v>
      </c>
      <c r="F94" s="1596">
        <f>'Бюд.р.'!F352</f>
        <v>200</v>
      </c>
      <c r="G94" s="1670">
        <f>'Бюд.р.'!H352</f>
        <v>2318.251</v>
      </c>
      <c r="H94" s="2396">
        <f>G94*1.05</f>
        <v>2434.16355</v>
      </c>
      <c r="I94" s="2396">
        <f>H94*1.05</f>
        <v>2555.8717275000004</v>
      </c>
    </row>
    <row r="95" spans="1:9" ht="33.75" customHeight="1">
      <c r="A95" s="1637" t="s">
        <v>874</v>
      </c>
      <c r="B95" s="2375" t="str">
        <f>'Бюд.р.'!A362</f>
        <v>УСТАНОВКА И СОДЕРЖАНИЕ МАЛЫХ АРХИТЕКТУРНЫХ ФОРМ, УЛИЧНОЙ МЕБЕЛИ И ХОЗЯЙСТВЕННОГО-БЫТОВОГО ОБОРУДОВАНИЯ, НЕОБХОДИМОГО ДЛЯ БЛАГОУСТРОЙСТВА ТЕРРИТОРИИ МО</v>
      </c>
      <c r="C95" s="2304" t="s">
        <v>591</v>
      </c>
      <c r="D95" s="2305" t="s">
        <v>396</v>
      </c>
      <c r="E95" s="2304" t="str">
        <f>E96</f>
        <v>600 01 04</v>
      </c>
      <c r="F95" s="2306"/>
      <c r="G95" s="1671">
        <f>G96</f>
        <v>1634.6719999999998</v>
      </c>
      <c r="H95" s="1671">
        <f>H96</f>
        <v>1716.4055999999998</v>
      </c>
      <c r="I95" s="2326">
        <f>I96</f>
        <v>1802.22588</v>
      </c>
    </row>
    <row r="96" spans="1:9" ht="12.75">
      <c r="A96" s="1628" t="s">
        <v>875</v>
      </c>
      <c r="B96" s="1609" t="str">
        <f>'Бюд.р.'!A363</f>
        <v>Закупка товаров, работ и услуг  для государственных (муниципальных) нужд</v>
      </c>
      <c r="C96" s="1515" t="s">
        <v>591</v>
      </c>
      <c r="D96" s="2297" t="s">
        <v>396</v>
      </c>
      <c r="E96" s="1515" t="str">
        <f>'Бюд.р.'!D363</f>
        <v>600 01 04</v>
      </c>
      <c r="F96" s="1596">
        <f>'Бюд.р.'!F363</f>
        <v>200</v>
      </c>
      <c r="G96" s="1670">
        <f>'Бюд.р.'!H364</f>
        <v>1634.6719999999998</v>
      </c>
      <c r="H96" s="2396">
        <f>G96*1.05</f>
        <v>1716.4055999999998</v>
      </c>
      <c r="I96" s="2396">
        <f>H96*1.05</f>
        <v>1802.22588</v>
      </c>
    </row>
    <row r="97" spans="1:9" ht="27" customHeight="1">
      <c r="A97" s="1638" t="s">
        <v>876</v>
      </c>
      <c r="B97" s="2309" t="s">
        <v>1270</v>
      </c>
      <c r="C97" s="2304" t="s">
        <v>591</v>
      </c>
      <c r="D97" s="2305" t="s">
        <v>396</v>
      </c>
      <c r="E97" s="2304" t="str">
        <f>E98</f>
        <v>600 02 04</v>
      </c>
      <c r="F97" s="2310"/>
      <c r="G97" s="1671">
        <f>G98</f>
        <v>198.17000000000002</v>
      </c>
      <c r="H97" s="1671">
        <f>H98</f>
        <v>208.07850000000002</v>
      </c>
      <c r="I97" s="2326">
        <f>I98</f>
        <v>218.48242500000003</v>
      </c>
    </row>
    <row r="98" spans="1:9" ht="18" customHeight="1">
      <c r="A98" s="1638"/>
      <c r="B98" s="1654" t="str">
        <f>'Бюд.р.'!A383</f>
        <v>Закупка товаров, работ и услуг  для государственных (муниципальных) нужд</v>
      </c>
      <c r="C98" s="1515">
        <v>968</v>
      </c>
      <c r="D98" s="2297" t="s">
        <v>396</v>
      </c>
      <c r="E98" s="1515" t="str">
        <f>'Бюд.р.'!D383</f>
        <v>600 02 04</v>
      </c>
      <c r="F98" s="1615">
        <f>'Бюд.р.'!F383</f>
        <v>200</v>
      </c>
      <c r="G98" s="1670">
        <f>'Бюд.р.'!H383</f>
        <v>198.17000000000002</v>
      </c>
      <c r="H98" s="2395">
        <f>G98*1.05</f>
        <v>208.07850000000002</v>
      </c>
      <c r="I98" s="2395">
        <f>H98*1.05</f>
        <v>218.48242500000003</v>
      </c>
    </row>
    <row r="99" spans="1:9" ht="22.5">
      <c r="A99" s="1628" t="s">
        <v>877</v>
      </c>
      <c r="B99" s="2375" t="str">
        <f>'Бюд.р.'!A391</f>
        <v>ОЗЕЛЕНЕНИЕ , СОДЕРЖАНИЕ И РЕМОНТ ТЕРРИТОРИЙ  ЗЕЛЕНЫХ НАСАЖДЕНИЙ ВНУТРИКВАРТАЛЬНОГО ОЗЕЛЕНЕНИЯ, КОМПЕНСАЦИОННОЕ ОЗЕЛЕНЕНИЕ</v>
      </c>
      <c r="C99" s="2304" t="s">
        <v>591</v>
      </c>
      <c r="D99" s="2305" t="s">
        <v>396</v>
      </c>
      <c r="E99" s="2304" t="str">
        <f>E100</f>
        <v>600 03 01</v>
      </c>
      <c r="F99" s="2306"/>
      <c r="G99" s="1671">
        <f>G100</f>
        <v>7297.972</v>
      </c>
      <c r="H99" s="1671">
        <f>H100</f>
        <v>7662.8706</v>
      </c>
      <c r="I99" s="2326">
        <f>I100</f>
        <v>8046.0141300000005</v>
      </c>
    </row>
    <row r="100" spans="1:9" ht="12.75">
      <c r="A100" s="1628"/>
      <c r="B100" s="2376" t="str">
        <f>'Бюд.р.'!A392</f>
        <v>Закупка товаров, работ и услуг  для государственных (муниципальных) нужд</v>
      </c>
      <c r="C100" s="1585">
        <v>968</v>
      </c>
      <c r="D100" s="1774" t="s">
        <v>396</v>
      </c>
      <c r="E100" s="1585" t="str">
        <f>'Бюд.р.'!D392</f>
        <v>600 03 01</v>
      </c>
      <c r="F100" s="1586">
        <f>'Бюд.р.'!F392</f>
        <v>200</v>
      </c>
      <c r="G100" s="1672">
        <f>'Бюд.р.'!H392</f>
        <v>7297.972</v>
      </c>
      <c r="H100" s="1771">
        <f>G100*1.05</f>
        <v>7662.8706</v>
      </c>
      <c r="I100" s="1771">
        <f>H100*1.05</f>
        <v>8046.0141300000005</v>
      </c>
    </row>
    <row r="101" spans="1:9" ht="41.25" customHeight="1">
      <c r="A101" s="1638" t="s">
        <v>878</v>
      </c>
      <c r="B101" s="2308" t="str">
        <f>'Бюд.р.'!A401</f>
        <v>ПРОВЕДЕНИЕ САНИТАРНЫХ РУБОК, УДАЛЕНИЕ АВАРИЙНЫХ, БОЛЬНЫХ ДЕРЕВЬЕВ И КУСТАРНИКОВ В ОТНОШЕНИИ ЗЕЛЕНЫХ НАСАЖДЕНИЙ ВНУТРИКВАРТАЛЬНОГО ОЗЕЛЕНЕНИЯ</v>
      </c>
      <c r="C101" s="2304" t="s">
        <v>591</v>
      </c>
      <c r="D101" s="2305" t="s">
        <v>396</v>
      </c>
      <c r="E101" s="2304" t="str">
        <f>E102</f>
        <v>600 03 02</v>
      </c>
      <c r="F101" s="2306"/>
      <c r="G101" s="1671">
        <f>G102</f>
        <v>296.95</v>
      </c>
      <c r="H101" s="1671">
        <f>H102</f>
        <v>311.7975</v>
      </c>
      <c r="I101" s="2326">
        <f>I102</f>
        <v>327.387375</v>
      </c>
    </row>
    <row r="102" spans="1:9" ht="16.5" customHeight="1">
      <c r="A102" s="1638"/>
      <c r="B102" s="1609" t="str">
        <f>'Бюд.р.'!A402</f>
        <v>Закупка товаров, работ и услуг  для государственных (муниципальных) нужд</v>
      </c>
      <c r="C102" s="1515">
        <v>968</v>
      </c>
      <c r="D102" s="2297" t="s">
        <v>396</v>
      </c>
      <c r="E102" s="1515" t="str">
        <f>'Бюд.р.'!D402</f>
        <v>600 03 02</v>
      </c>
      <c r="F102" s="1596">
        <f>'Бюд.р.'!F402</f>
        <v>200</v>
      </c>
      <c r="G102" s="1670">
        <f>'Бюд.р.'!H402</f>
        <v>296.95</v>
      </c>
      <c r="H102" s="2396">
        <f>G102*1.05</f>
        <v>311.7975</v>
      </c>
      <c r="I102" s="2396">
        <f>H102*1.05</f>
        <v>327.387375</v>
      </c>
    </row>
    <row r="103" spans="1:9" ht="22.5">
      <c r="A103" s="1639" t="s">
        <v>879</v>
      </c>
      <c r="B103" s="2374" t="str">
        <f>'Бюд.р.'!A413</f>
        <v>ОРГАНИЗАЦИЯ УЧЕТА ЗЕЛЕНЫХ НАСАЖДЕНИЙ ВНУТРИКВАРТАЛЬНОГО ОЗЕЛЕНЕНИЯ </v>
      </c>
      <c r="C103" s="2304" t="s">
        <v>591</v>
      </c>
      <c r="D103" s="2305" t="s">
        <v>396</v>
      </c>
      <c r="E103" s="2304" t="str">
        <f>E104</f>
        <v>600 03 05</v>
      </c>
      <c r="F103" s="2306"/>
      <c r="G103" s="1671">
        <f>G104</f>
        <v>150</v>
      </c>
      <c r="H103" s="1671">
        <f>H104</f>
        <v>157.5</v>
      </c>
      <c r="I103" s="2326">
        <f>I104</f>
        <v>165.375</v>
      </c>
    </row>
    <row r="104" spans="1:9" ht="16.5" customHeight="1">
      <c r="A104" s="1639"/>
      <c r="B104" s="2377" t="str">
        <f>'Бюд.р.'!A414</f>
        <v>Закупка товаров, работ и услуг  для государственных (муниципальных) нужд</v>
      </c>
      <c r="C104" s="1515">
        <v>968</v>
      </c>
      <c r="D104" s="2297" t="s">
        <v>396</v>
      </c>
      <c r="E104" s="1515" t="str">
        <f>'Бюд.р.'!D414</f>
        <v>600 03 05</v>
      </c>
      <c r="F104" s="1596">
        <f>'Бюд.р.'!F414</f>
        <v>200</v>
      </c>
      <c r="G104" s="1670">
        <f>'Бюд.р.'!H414</f>
        <v>150</v>
      </c>
      <c r="H104" s="2395">
        <f>G104*1.05</f>
        <v>157.5</v>
      </c>
      <c r="I104" s="2395">
        <f>H104*1.05</f>
        <v>165.375</v>
      </c>
    </row>
    <row r="105" spans="1:9" ht="28.5" customHeight="1">
      <c r="A105" s="1640" t="s">
        <v>880</v>
      </c>
      <c r="B105" s="2308" t="str">
        <f>'Бюд.р.'!A419</f>
        <v>СОЗДАНИЕ ЗОН ОТДЫХА, В ТОМ ЧИСЛЕ ОБУСТРОЙСТВО, СОДЕРЖАНИЕ И УБОРКА ТЕРРИТОРИЙ ДЕТСКИХ ПЛОЩАДОК</v>
      </c>
      <c r="C105" s="2304" t="s">
        <v>591</v>
      </c>
      <c r="D105" s="2305" t="s">
        <v>396</v>
      </c>
      <c r="E105" s="2304" t="str">
        <f>E106</f>
        <v>600 04 01</v>
      </c>
      <c r="F105" s="2306"/>
      <c r="G105" s="1671">
        <f>G106</f>
        <v>4108.826</v>
      </c>
      <c r="H105" s="1671">
        <f>H106</f>
        <v>4314.2673</v>
      </c>
      <c r="I105" s="2326">
        <f>I106</f>
        <v>4529.980665000001</v>
      </c>
    </row>
    <row r="106" spans="1:9" ht="18" customHeight="1">
      <c r="A106" s="1640"/>
      <c r="B106" s="1609" t="str">
        <f>'Бюд.р.'!A420</f>
        <v>Закупка товаров, работ и услуг  для государственных (муниципальных) нужд</v>
      </c>
      <c r="C106" s="1515">
        <v>968</v>
      </c>
      <c r="D106" s="2297" t="s">
        <v>396</v>
      </c>
      <c r="E106" s="1515" t="str">
        <f>'Бюд.р.'!D420</f>
        <v>600 04 01</v>
      </c>
      <c r="F106" s="1596">
        <f>'Бюд.р.'!F420</f>
        <v>200</v>
      </c>
      <c r="G106" s="1670">
        <f>'Бюд.р.'!H420</f>
        <v>4108.826</v>
      </c>
      <c r="H106" s="2396">
        <f>G106*1.05</f>
        <v>4314.2673</v>
      </c>
      <c r="I106" s="2396">
        <f>H106*1.05</f>
        <v>4529.980665000001</v>
      </c>
    </row>
    <row r="107" spans="1:9" ht="18" customHeight="1">
      <c r="A107" s="1639" t="s">
        <v>882</v>
      </c>
      <c r="B107" s="2308" t="str">
        <f>'Бюд.р.'!A427</f>
        <v>ОБУСТРОЙСТВО, СОДЕРЖАНИЕ И УБОРКА ТЕРРИТОРИЙ СПОРТИВНЫХ ПЛОЩАДОК</v>
      </c>
      <c r="C107" s="2304" t="s">
        <v>591</v>
      </c>
      <c r="D107" s="2305" t="s">
        <v>396</v>
      </c>
      <c r="E107" s="2304" t="str">
        <f>E108</f>
        <v>600 04 02</v>
      </c>
      <c r="F107" s="2306"/>
      <c r="G107" s="1671">
        <f>G108</f>
        <v>1134.8159999999998</v>
      </c>
      <c r="H107" s="1671">
        <f>H108</f>
        <v>1191.5567999999998</v>
      </c>
      <c r="I107" s="2326">
        <f>I108</f>
        <v>1251.13464</v>
      </c>
    </row>
    <row r="108" spans="1:9" ht="18.75" customHeight="1">
      <c r="A108" s="1638" t="s">
        <v>892</v>
      </c>
      <c r="B108" s="1609" t="str">
        <f>'Бюд.р.'!A428</f>
        <v>Закупка товаров, работ и услуг  для государственных (муниципальных) нужд</v>
      </c>
      <c r="C108" s="1515" t="s">
        <v>591</v>
      </c>
      <c r="D108" s="2297" t="s">
        <v>396</v>
      </c>
      <c r="E108" s="1515" t="str">
        <f>'Бюд.р.'!D428</f>
        <v>600 04 02</v>
      </c>
      <c r="F108" s="1596">
        <f>'Бюд.р.'!F428</f>
        <v>200</v>
      </c>
      <c r="G108" s="1670">
        <f>'Бюд.р.'!H428</f>
        <v>1134.8159999999998</v>
      </c>
      <c r="H108" s="2396">
        <f>G108*1.05</f>
        <v>1191.5567999999998</v>
      </c>
      <c r="I108" s="2396">
        <f>H108*1.05</f>
        <v>1251.13464</v>
      </c>
    </row>
    <row r="109" spans="1:9" ht="12.75" hidden="1">
      <c r="A109" s="1639" t="s">
        <v>11</v>
      </c>
      <c r="B109" s="1653" t="s">
        <v>684</v>
      </c>
      <c r="C109" s="1604" t="s">
        <v>591</v>
      </c>
      <c r="D109" s="2296" t="s">
        <v>685</v>
      </c>
      <c r="E109" s="1652"/>
      <c r="F109" s="1608"/>
      <c r="G109" s="1675">
        <f aca="true" t="shared" si="7" ref="G109:I111">G110</f>
        <v>0</v>
      </c>
      <c r="H109" s="2327">
        <f t="shared" si="7"/>
        <v>0</v>
      </c>
      <c r="I109" s="2327">
        <f t="shared" si="7"/>
        <v>0</v>
      </c>
    </row>
    <row r="110" spans="1:10" ht="18" customHeight="1" hidden="1" thickBot="1">
      <c r="A110" s="1643" t="s">
        <v>12</v>
      </c>
      <c r="B110" s="1654" t="s">
        <v>687</v>
      </c>
      <c r="C110" s="1515" t="s">
        <v>591</v>
      </c>
      <c r="D110" s="2297" t="s">
        <v>686</v>
      </c>
      <c r="E110" s="1515"/>
      <c r="F110" s="1596"/>
      <c r="G110" s="1674">
        <f t="shared" si="7"/>
        <v>0</v>
      </c>
      <c r="H110" s="2367">
        <f t="shared" si="7"/>
        <v>0</v>
      </c>
      <c r="I110" s="2367">
        <f t="shared" si="7"/>
        <v>0</v>
      </c>
      <c r="J110" s="1614"/>
    </row>
    <row r="111" spans="1:9" ht="24.75" hidden="1" thickBot="1">
      <c r="A111" s="1641" t="s">
        <v>612</v>
      </c>
      <c r="B111" s="1653" t="s">
        <v>688</v>
      </c>
      <c r="C111" s="1604" t="s">
        <v>591</v>
      </c>
      <c r="D111" s="2296" t="s">
        <v>686</v>
      </c>
      <c r="E111" s="1604" t="s">
        <v>689</v>
      </c>
      <c r="F111" s="1605"/>
      <c r="G111" s="1675">
        <f t="shared" si="7"/>
        <v>0</v>
      </c>
      <c r="H111" s="2327">
        <f t="shared" si="7"/>
        <v>0</v>
      </c>
      <c r="I111" s="2327">
        <f t="shared" si="7"/>
        <v>0</v>
      </c>
    </row>
    <row r="112" spans="1:9" ht="24" customHeight="1" hidden="1">
      <c r="A112" s="1642" t="s">
        <v>94</v>
      </c>
      <c r="B112" s="1609" t="str">
        <f>'Бюд.р.'!A440</f>
        <v>Прочая закупка товаров, работ и услуг для муниципальных нужд</v>
      </c>
      <c r="C112" s="1652" t="s">
        <v>591</v>
      </c>
      <c r="D112" s="2378" t="s">
        <v>686</v>
      </c>
      <c r="E112" s="1652" t="s">
        <v>689</v>
      </c>
      <c r="F112" s="1608">
        <f>'Бюд.р.'!F440</f>
        <v>244</v>
      </c>
      <c r="G112" s="1674">
        <f>'Бюд.р.'!H440</f>
        <v>0</v>
      </c>
      <c r="H112" s="2399">
        <f>G112*1.05</f>
        <v>0</v>
      </c>
      <c r="I112" s="2399">
        <f>H112*1.05</f>
        <v>0</v>
      </c>
    </row>
    <row r="113" spans="1:9" ht="12.75">
      <c r="A113" s="1639" t="s">
        <v>95</v>
      </c>
      <c r="B113" s="1653" t="s">
        <v>236</v>
      </c>
      <c r="C113" s="1604" t="s">
        <v>591</v>
      </c>
      <c r="D113" s="2296" t="s">
        <v>358</v>
      </c>
      <c r="E113" s="1652"/>
      <c r="F113" s="1666"/>
      <c r="G113" s="1675">
        <f>G114+G119+G130</f>
        <v>4007.4970000000003</v>
      </c>
      <c r="H113" s="1675">
        <f>H114+H119+H130</f>
        <v>4207.87185</v>
      </c>
      <c r="I113" s="1675">
        <f>I114+I119+I130</f>
        <v>4418.265442500001</v>
      </c>
    </row>
    <row r="114" spans="1:9" ht="13.5" customHeight="1">
      <c r="A114" s="2311"/>
      <c r="B114" s="2312" t="str">
        <f>'Рас.Пр.3'!B99</f>
        <v>Профессиональная подготовка, переподготовка и повышение квалификации
</v>
      </c>
      <c r="C114" s="1604">
        <v>968</v>
      </c>
      <c r="D114" s="2296" t="s">
        <v>993</v>
      </c>
      <c r="E114" s="1652"/>
      <c r="F114" s="1666"/>
      <c r="G114" s="1675">
        <f>G115+G117</f>
        <v>164.40000000000003</v>
      </c>
      <c r="H114" s="1675">
        <f>H115+H117</f>
        <v>172.62000000000003</v>
      </c>
      <c r="I114" s="2327">
        <f>I115+I117</f>
        <v>181.25100000000003</v>
      </c>
    </row>
    <row r="115" spans="1:9" ht="39.75" customHeight="1">
      <c r="A115" s="2311"/>
      <c r="B115" s="1653" t="str">
        <f>'Бюд.р.'!A447</f>
        <v>Расходы на организацию профессионального образования и дополнительного профессионального образования для выборных должностных лиц местного самоуправления </v>
      </c>
      <c r="C115" s="1604">
        <v>968</v>
      </c>
      <c r="D115" s="2296" t="s">
        <v>993</v>
      </c>
      <c r="E115" s="1652" t="str">
        <f>E116</f>
        <v>428 01 01</v>
      </c>
      <c r="F115" s="1666"/>
      <c r="G115" s="1675">
        <f>G116</f>
        <v>0</v>
      </c>
      <c r="H115" s="1675">
        <f>H116</f>
        <v>0</v>
      </c>
      <c r="I115" s="2327">
        <f>I116</f>
        <v>0</v>
      </c>
    </row>
    <row r="116" spans="1:9" ht="18" customHeight="1">
      <c r="A116" s="1644" t="s">
        <v>96</v>
      </c>
      <c r="B116" s="1654" t="str">
        <f>'Бюд.р.'!A448</f>
        <v>Закупка товаров, работ и услуг  для государственных (муниципальных) нужд</v>
      </c>
      <c r="C116" s="1515" t="s">
        <v>591</v>
      </c>
      <c r="D116" s="2297" t="s">
        <v>993</v>
      </c>
      <c r="E116" s="1515" t="str">
        <f>'Бюд.р.'!D448</f>
        <v>428 01 01</v>
      </c>
      <c r="F116" s="1615">
        <f>'Бюд.р.'!F448</f>
        <v>200</v>
      </c>
      <c r="G116" s="1674">
        <f>'Бюд.р.'!H448</f>
        <v>0</v>
      </c>
      <c r="H116" s="2367">
        <f>G116*1.05</f>
        <v>0</v>
      </c>
      <c r="I116" s="2367">
        <f>H116*1.05</f>
        <v>0</v>
      </c>
    </row>
    <row r="117" spans="1:9" ht="39.75" customHeight="1">
      <c r="A117" s="1644"/>
      <c r="B117" s="1653" t="str">
        <f>'Бюд.р.'!A452</f>
        <v>Расходы на организацию профессионального образования и дополнительного профессионального образования для  муниципальных служащих  </v>
      </c>
      <c r="C117" s="1604">
        <v>968</v>
      </c>
      <c r="D117" s="2296" t="s">
        <v>993</v>
      </c>
      <c r="E117" s="1652" t="str">
        <f>E118</f>
        <v>428 01 02</v>
      </c>
      <c r="F117" s="1666"/>
      <c r="G117" s="1675">
        <f>G118</f>
        <v>164.40000000000003</v>
      </c>
      <c r="H117" s="1675">
        <f>H118</f>
        <v>172.62000000000003</v>
      </c>
      <c r="I117" s="2327">
        <f>I118</f>
        <v>181.25100000000003</v>
      </c>
    </row>
    <row r="118" spans="1:9" ht="18" customHeight="1">
      <c r="A118" s="1644"/>
      <c r="B118" s="1654" t="str">
        <f>'Бюд.р.'!A453</f>
        <v>Закупка товаров, работ и услуг  для государственных (муниципальных) нужд</v>
      </c>
      <c r="C118" s="1515" t="s">
        <v>591</v>
      </c>
      <c r="D118" s="2297" t="s">
        <v>993</v>
      </c>
      <c r="E118" s="1515" t="str">
        <f>'Бюд.р.'!D453</f>
        <v>428 01 02</v>
      </c>
      <c r="F118" s="1615">
        <f>'Бюд.р.'!G450</f>
        <v>200</v>
      </c>
      <c r="G118" s="1674">
        <f>'Бюд.р.'!H453</f>
        <v>164.40000000000003</v>
      </c>
      <c r="H118" s="2367">
        <f>G118*1.05</f>
        <v>172.62000000000003</v>
      </c>
      <c r="I118" s="2367">
        <f>H118*1.05</f>
        <v>181.25100000000003</v>
      </c>
    </row>
    <row r="119" spans="1:9" ht="18" customHeight="1">
      <c r="A119" s="1638" t="s">
        <v>7</v>
      </c>
      <c r="B119" s="2313" t="s">
        <v>357</v>
      </c>
      <c r="C119" s="1611" t="s">
        <v>591</v>
      </c>
      <c r="D119" s="1781" t="s">
        <v>359</v>
      </c>
      <c r="E119" s="1611"/>
      <c r="F119" s="1842"/>
      <c r="G119" s="2299">
        <f>G120+G122+G124+G126+G128</f>
        <v>3725.087</v>
      </c>
      <c r="H119" s="2299">
        <f>H120+H122+H124+H126+H128</f>
        <v>3911.34135</v>
      </c>
      <c r="I119" s="2299">
        <f>I120+I122+I124+I126+I128</f>
        <v>4106.908417500001</v>
      </c>
    </row>
    <row r="120" spans="1:9" ht="24" customHeight="1">
      <c r="A120" s="1638"/>
      <c r="B120" s="2300" t="str">
        <f>'Бюд.р.'!A458</f>
        <v>Ведомственная целевая программа по участию в реализации мер по профилактике дорожно-транспортного травматизма на территории МО </v>
      </c>
      <c r="C120" s="1611" t="s">
        <v>591</v>
      </c>
      <c r="D120" s="1781" t="s">
        <v>359</v>
      </c>
      <c r="E120" s="1611" t="str">
        <f>'Бюд.р.'!D458</f>
        <v>795 01 00</v>
      </c>
      <c r="F120" s="1667"/>
      <c r="G120" s="2299">
        <f>G121</f>
        <v>784.48</v>
      </c>
      <c r="H120" s="1676">
        <f>H121</f>
        <v>823.7040000000001</v>
      </c>
      <c r="I120" s="1676">
        <f>I121</f>
        <v>864.8892000000001</v>
      </c>
    </row>
    <row r="121" spans="1:9" ht="18" customHeight="1">
      <c r="A121" s="1638"/>
      <c r="B121" s="1609" t="str">
        <f>'Бюд.р.'!A459</f>
        <v>Закупка товаров, работ и услуг  для государственных (муниципальных) нужд</v>
      </c>
      <c r="C121" s="1515" t="s">
        <v>591</v>
      </c>
      <c r="D121" s="2297" t="s">
        <v>359</v>
      </c>
      <c r="E121" s="1515" t="str">
        <f>'Бюд.р.'!D459</f>
        <v>795 01 00</v>
      </c>
      <c r="F121" s="1596">
        <f>'Бюд.р.'!F459</f>
        <v>200</v>
      </c>
      <c r="G121" s="1674">
        <f>'Бюд.р.'!H459</f>
        <v>784.48</v>
      </c>
      <c r="H121" s="2399">
        <f>G121*1.05</f>
        <v>823.7040000000001</v>
      </c>
      <c r="I121" s="2399">
        <f>H121*1.05</f>
        <v>864.8892000000001</v>
      </c>
    </row>
    <row r="122" spans="1:9" ht="36" customHeight="1">
      <c r="A122" s="1638"/>
      <c r="B122" s="2300" t="str">
        <f>'Бюд.р.'!A464</f>
        <v>Ведомственная 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 </v>
      </c>
      <c r="C122" s="1611" t="s">
        <v>591</v>
      </c>
      <c r="D122" s="1781" t="s">
        <v>359</v>
      </c>
      <c r="E122" s="1611" t="str">
        <f>E123</f>
        <v>795 04 00</v>
      </c>
      <c r="F122" s="1667"/>
      <c r="G122" s="2299">
        <f>G123</f>
        <v>140.642</v>
      </c>
      <c r="H122" s="1676">
        <f>H123</f>
        <v>147.6741</v>
      </c>
      <c r="I122" s="1676">
        <f>I123</f>
        <v>155.05780500000003</v>
      </c>
    </row>
    <row r="123" spans="1:9" ht="18" customHeight="1">
      <c r="A123" s="1638"/>
      <c r="B123" s="1609" t="str">
        <f>'Бюд.р.'!A465</f>
        <v>Закупка товаров, работ и услуг  для государственных (муниципальных) нужд</v>
      </c>
      <c r="C123" s="1515" t="s">
        <v>591</v>
      </c>
      <c r="D123" s="2297" t="s">
        <v>359</v>
      </c>
      <c r="E123" s="1515" t="str">
        <f>'Бюд.р.'!D466</f>
        <v>795 04 00</v>
      </c>
      <c r="F123" s="1596">
        <f>'Бюд.р.'!F465</f>
        <v>200</v>
      </c>
      <c r="G123" s="1674">
        <f>'Бюд.р.'!H468</f>
        <v>140.642</v>
      </c>
      <c r="H123" s="2399">
        <f>G123*1.05</f>
        <v>147.6741</v>
      </c>
      <c r="I123" s="2399">
        <f>H123*1.05</f>
        <v>155.05780500000003</v>
      </c>
    </row>
    <row r="124" spans="1:9" ht="34.5" customHeight="1">
      <c r="A124" s="1638"/>
      <c r="B124" s="2300" t="str">
        <f>'Бюд.р.'!A486</f>
        <v>Ведомственная целевая программа   по участию в профилактике  терроризма и экстремизма, а также  минимизации и (или) ликвидации последствий проявления терроризма и экстремизма на территории МО </v>
      </c>
      <c r="C124" s="1611" t="s">
        <v>591</v>
      </c>
      <c r="D124" s="1781" t="s">
        <v>359</v>
      </c>
      <c r="E124" s="1611" t="str">
        <f>'Бюд.р.'!D486</f>
        <v>795 05 00</v>
      </c>
      <c r="F124" s="1667"/>
      <c r="G124" s="2299">
        <f>G125</f>
        <v>85.36500000000001</v>
      </c>
      <c r="H124" s="1676">
        <f>H125</f>
        <v>89.63325000000002</v>
      </c>
      <c r="I124" s="1676">
        <f>I125</f>
        <v>94.11491250000002</v>
      </c>
    </row>
    <row r="125" spans="1:9" ht="18" customHeight="1">
      <c r="A125" s="1638"/>
      <c r="B125" s="1609" t="str">
        <f>'Бюд.р.'!A487</f>
        <v>Закупка товаров, работ и услуг  для государственных (муниципальных) нужд</v>
      </c>
      <c r="C125" s="1515" t="s">
        <v>591</v>
      </c>
      <c r="D125" s="2297" t="s">
        <v>359</v>
      </c>
      <c r="E125" s="1515" t="str">
        <f>'Бюд.р.'!D487</f>
        <v>795 05 00</v>
      </c>
      <c r="F125" s="1596">
        <f>'Бюд.р.'!F487</f>
        <v>200</v>
      </c>
      <c r="G125" s="1674">
        <f>'Бюд.р.'!H487</f>
        <v>85.36500000000001</v>
      </c>
      <c r="H125" s="2399">
        <f>G125*1.05</f>
        <v>89.63325000000002</v>
      </c>
      <c r="I125" s="2399">
        <f>H125*1.05</f>
        <v>94.11491250000002</v>
      </c>
    </row>
    <row r="126" spans="1:9" ht="27.75" customHeight="1">
      <c r="A126" s="1639" t="s">
        <v>904</v>
      </c>
      <c r="B126" s="2300" t="str">
        <f>'Бюд.р.'!A469</f>
        <v>Ведомственная целевая программа по военно-патриотическому воспитанию граждан муниципального образования</v>
      </c>
      <c r="C126" s="1611" t="s">
        <v>591</v>
      </c>
      <c r="D126" s="1781" t="s">
        <v>359</v>
      </c>
      <c r="E126" s="1611" t="str">
        <f>E127</f>
        <v>795 08 00</v>
      </c>
      <c r="F126" s="1667"/>
      <c r="G126" s="2299">
        <f>G127</f>
        <v>1103.7</v>
      </c>
      <c r="H126" s="1676">
        <f>H127</f>
        <v>1158.885</v>
      </c>
      <c r="I126" s="1676">
        <f>I127</f>
        <v>1216.82925</v>
      </c>
    </row>
    <row r="127" spans="1:9" ht="18" customHeight="1">
      <c r="A127" s="1638" t="s">
        <v>905</v>
      </c>
      <c r="B127" s="1609" t="str">
        <f>'Бюд.р.'!A470</f>
        <v>Закупка товаров, работ и услуг  для государственных (муниципальных) нужд</v>
      </c>
      <c r="C127" s="1515" t="s">
        <v>591</v>
      </c>
      <c r="D127" s="2297" t="s">
        <v>359</v>
      </c>
      <c r="E127" s="1515" t="str">
        <f>'Бюд.р.'!D470</f>
        <v>795 08 00</v>
      </c>
      <c r="F127" s="1596">
        <f>'Бюд.р.'!G472</f>
        <v>200</v>
      </c>
      <c r="G127" s="1674">
        <f>'Бюд.р.'!H472</f>
        <v>1103.7</v>
      </c>
      <c r="H127" s="2399">
        <f>G127*1.05</f>
        <v>1158.885</v>
      </c>
      <c r="I127" s="2399">
        <f>H127*1.05</f>
        <v>1216.82925</v>
      </c>
    </row>
    <row r="128" spans="1:9" ht="27" customHeight="1">
      <c r="A128" s="1639" t="s">
        <v>506</v>
      </c>
      <c r="B128" s="1661" t="str">
        <f>'Бюд.р.'!A477</f>
        <v>Ведомственная целевая программа по организации и проведению досуговых мероприятий для жителей МО МО Озеро Долгое </v>
      </c>
      <c r="C128" s="1611" t="s">
        <v>591</v>
      </c>
      <c r="D128" s="1781" t="s">
        <v>359</v>
      </c>
      <c r="E128" s="1611" t="str">
        <f>E129</f>
        <v>795 06 00</v>
      </c>
      <c r="F128" s="1667"/>
      <c r="G128" s="2299">
        <f>G129</f>
        <v>1610.9</v>
      </c>
      <c r="H128" s="2299">
        <f>H129</f>
        <v>1691.4450000000002</v>
      </c>
      <c r="I128" s="1676">
        <f>I129</f>
        <v>1776.0172500000003</v>
      </c>
    </row>
    <row r="129" spans="1:9" ht="17.25" customHeight="1">
      <c r="A129" s="2311"/>
      <c r="B129" s="1609" t="str">
        <f>'Бюд.р.'!A478</f>
        <v>Закупка товаров, работ и услуг  для государственных (муниципальных) нужд</v>
      </c>
      <c r="C129" s="1515">
        <v>968</v>
      </c>
      <c r="D129" s="2297" t="s">
        <v>359</v>
      </c>
      <c r="E129" s="1515" t="str">
        <f>'Бюд.р.'!D478</f>
        <v>795 06 00</v>
      </c>
      <c r="F129" s="1596">
        <f>'Бюд.р.'!F478</f>
        <v>200</v>
      </c>
      <c r="G129" s="1674">
        <f>'Бюд.р.'!H478</f>
        <v>1610.9</v>
      </c>
      <c r="H129" s="2399">
        <f>G129*1.05</f>
        <v>1691.4450000000002</v>
      </c>
      <c r="I129" s="2399">
        <f>H129*1.05</f>
        <v>1776.0172500000003</v>
      </c>
    </row>
    <row r="130" spans="1:9" ht="13.5" customHeight="1">
      <c r="A130" s="1643" t="s">
        <v>507</v>
      </c>
      <c r="B130" s="2314" t="s">
        <v>14</v>
      </c>
      <c r="C130" s="1611" t="s">
        <v>591</v>
      </c>
      <c r="D130" s="1781" t="s">
        <v>18</v>
      </c>
      <c r="E130" s="1611"/>
      <c r="F130" s="1842"/>
      <c r="G130" s="2299">
        <f>G131+G133</f>
        <v>118.01</v>
      </c>
      <c r="H130" s="2299">
        <f>H131+H133</f>
        <v>123.91050000000001</v>
      </c>
      <c r="I130" s="1676">
        <f>I131+I133</f>
        <v>130.10602500000002</v>
      </c>
    </row>
    <row r="131" spans="1:9" ht="24">
      <c r="A131" s="1639" t="s">
        <v>839</v>
      </c>
      <c r="B131" s="1659" t="s">
        <v>946</v>
      </c>
      <c r="C131" s="1604" t="s">
        <v>591</v>
      </c>
      <c r="D131" s="2296" t="s">
        <v>18</v>
      </c>
      <c r="E131" s="1604" t="str">
        <f>E132</f>
        <v>795 01 00</v>
      </c>
      <c r="F131" s="1605"/>
      <c r="G131" s="1675">
        <f>G132</f>
        <v>35</v>
      </c>
      <c r="H131" s="1675">
        <f>H132</f>
        <v>36.75</v>
      </c>
      <c r="I131" s="2327">
        <f>I132</f>
        <v>38.5875</v>
      </c>
    </row>
    <row r="132" spans="1:9" ht="13.5" customHeight="1" thickBot="1">
      <c r="A132" s="1643" t="s">
        <v>840</v>
      </c>
      <c r="B132" s="1609" t="str">
        <f>'Бюд.р.'!A495</f>
        <v>Закупка товаров, работ и услуг  для государственных (муниципальных) нужд</v>
      </c>
      <c r="C132" s="1652" t="s">
        <v>591</v>
      </c>
      <c r="D132" s="2378" t="s">
        <v>18</v>
      </c>
      <c r="E132" s="1652" t="str">
        <f>'Бюд.р.'!D495</f>
        <v>795 01 00</v>
      </c>
      <c r="F132" s="1608">
        <f>'Бюд.р.'!F495</f>
        <v>200</v>
      </c>
      <c r="G132" s="1674">
        <f>'Бюд.р.'!H495</f>
        <v>35</v>
      </c>
      <c r="H132" s="2399">
        <f>G132*1.05</f>
        <v>36.75</v>
      </c>
      <c r="I132" s="2399">
        <f>H132*1.05</f>
        <v>38.5875</v>
      </c>
    </row>
    <row r="133" spans="1:9" ht="48.75" thickBot="1">
      <c r="A133" s="1641" t="s">
        <v>466</v>
      </c>
      <c r="B133" s="1659" t="str">
        <f>'Бюд.р.'!A503</f>
        <v>Ведомственная 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 </v>
      </c>
      <c r="C133" s="1604" t="s">
        <v>591</v>
      </c>
      <c r="D133" s="2296" t="s">
        <v>18</v>
      </c>
      <c r="E133" s="1604" t="str">
        <f>E134</f>
        <v>795 04 00</v>
      </c>
      <c r="F133" s="1605"/>
      <c r="G133" s="1675">
        <f>G134</f>
        <v>83.01</v>
      </c>
      <c r="H133" s="1675">
        <f>H134</f>
        <v>87.16050000000001</v>
      </c>
      <c r="I133" s="2327">
        <f>I134</f>
        <v>91.51852500000001</v>
      </c>
    </row>
    <row r="134" spans="1:9" ht="12.75">
      <c r="A134" s="1642" t="s">
        <v>504</v>
      </c>
      <c r="B134" s="1609" t="str">
        <f>'Бюд.р.'!A504</f>
        <v>Закупка товаров, работ и услуг  для государственных (муниципальных) нужд</v>
      </c>
      <c r="C134" s="1652" t="s">
        <v>591</v>
      </c>
      <c r="D134" s="2378" t="s">
        <v>18</v>
      </c>
      <c r="E134" s="1652" t="s">
        <v>143</v>
      </c>
      <c r="F134" s="1608">
        <f>'Бюд.р.'!F504</f>
        <v>200</v>
      </c>
      <c r="G134" s="1674">
        <f>'Бюд.р.'!H504</f>
        <v>83.01</v>
      </c>
      <c r="H134" s="2399">
        <f>G134*1.05</f>
        <v>87.16050000000001</v>
      </c>
      <c r="I134" s="2399">
        <f>H134*1.05</f>
        <v>91.51852500000001</v>
      </c>
    </row>
    <row r="135" spans="1:9" ht="16.5" customHeight="1">
      <c r="A135" s="1639" t="s">
        <v>508</v>
      </c>
      <c r="B135" s="1653" t="s">
        <v>842</v>
      </c>
      <c r="C135" s="1604" t="s">
        <v>591</v>
      </c>
      <c r="D135" s="2296" t="s">
        <v>362</v>
      </c>
      <c r="E135" s="1602"/>
      <c r="F135" s="1603"/>
      <c r="G135" s="1675">
        <f>G137+G139</f>
        <v>10849.932</v>
      </c>
      <c r="H135" s="1675">
        <f>H137+H139</f>
        <v>11392.428600000001</v>
      </c>
      <c r="I135" s="2327">
        <f>I137+I139</f>
        <v>11962.050030000002</v>
      </c>
    </row>
    <row r="136" spans="1:9" ht="15.75" customHeight="1">
      <c r="A136" s="1643" t="s">
        <v>509</v>
      </c>
      <c r="B136" s="2298" t="s">
        <v>641</v>
      </c>
      <c r="C136" s="1611" t="s">
        <v>591</v>
      </c>
      <c r="D136" s="1781" t="s">
        <v>363</v>
      </c>
      <c r="E136" s="1782"/>
      <c r="F136" s="1843"/>
      <c r="G136" s="2299">
        <f aca="true" t="shared" si="8" ref="G136:I137">G137</f>
        <v>9164.942000000001</v>
      </c>
      <c r="H136" s="2299">
        <f t="shared" si="8"/>
        <v>9623.189100000001</v>
      </c>
      <c r="I136" s="1676">
        <f t="shared" si="8"/>
        <v>10104.348555000002</v>
      </c>
    </row>
    <row r="137" spans="1:9" ht="48.75" customHeight="1">
      <c r="A137" s="1639" t="s">
        <v>895</v>
      </c>
      <c r="B137" s="2379" t="str">
        <f>'Бюд.р.'!A511</f>
        <v>Ведомственная целевая программа по организации и проведению местных и участию в организации и проведении городских праздничных и иных зрелищных мероприятий, а также мероприятий по сохранению и развитию местных традиций и обрядов </v>
      </c>
      <c r="C137" s="1611" t="s">
        <v>591</v>
      </c>
      <c r="D137" s="2380" t="s">
        <v>363</v>
      </c>
      <c r="E137" s="1782" t="str">
        <f>E138</f>
        <v>795 09 00</v>
      </c>
      <c r="F137" s="1843"/>
      <c r="G137" s="2299">
        <f t="shared" si="8"/>
        <v>9164.942000000001</v>
      </c>
      <c r="H137" s="2299">
        <f t="shared" si="8"/>
        <v>9623.189100000001</v>
      </c>
      <c r="I137" s="1676">
        <f t="shared" si="8"/>
        <v>10104.348555000002</v>
      </c>
    </row>
    <row r="138" spans="1:9" ht="16.5" customHeight="1">
      <c r="A138" s="1643" t="s">
        <v>896</v>
      </c>
      <c r="B138" s="1609" t="str">
        <f>'Бюд.р.'!A512</f>
        <v>Закупка товаров, работ и услуг  для государственных (муниципальных) нужд</v>
      </c>
      <c r="C138" s="1515" t="s">
        <v>591</v>
      </c>
      <c r="D138" s="2297" t="s">
        <v>363</v>
      </c>
      <c r="E138" s="1515" t="str">
        <f>'Бюд.р.'!D512</f>
        <v>795 09 00</v>
      </c>
      <c r="F138" s="1596">
        <f>'Бюд.р.'!F512</f>
        <v>200</v>
      </c>
      <c r="G138" s="1674">
        <f>'Бюд.р.'!H512</f>
        <v>9164.942000000001</v>
      </c>
      <c r="H138" s="2399">
        <f>G138*1.05</f>
        <v>9623.189100000001</v>
      </c>
      <c r="I138" s="2399">
        <f>H138*1.05</f>
        <v>10104.348555000002</v>
      </c>
    </row>
    <row r="139" spans="1:9" ht="16.5" customHeight="1">
      <c r="A139" s="1645"/>
      <c r="B139" s="1661" t="str">
        <f>'Бюд.р.'!A519</f>
        <v>Другие вопросы в области культуры, кинематографии</v>
      </c>
      <c r="C139" s="1611">
        <v>968</v>
      </c>
      <c r="D139" s="1781" t="s">
        <v>1241</v>
      </c>
      <c r="E139" s="1611"/>
      <c r="F139" s="1667"/>
      <c r="G139" s="2299">
        <f>G140+G142</f>
        <v>1684.99</v>
      </c>
      <c r="H139" s="2299">
        <f>H140+H142</f>
        <v>1769.2395</v>
      </c>
      <c r="I139" s="2299">
        <f>I140+I142</f>
        <v>1857.701475</v>
      </c>
    </row>
    <row r="140" spans="1:9" ht="24.75" customHeight="1" thickBot="1">
      <c r="A140" s="1645"/>
      <c r="B140" s="1661" t="str">
        <f>'Бюд.р.'!A520</f>
        <v>Ведомственная целевая программа по организации и проведению досуговых мероприятий для жителей МО МО Озеро Долгое </v>
      </c>
      <c r="C140" s="1611">
        <v>968</v>
      </c>
      <c r="D140" s="1781" t="s">
        <v>1241</v>
      </c>
      <c r="E140" s="1611" t="str">
        <f>E141</f>
        <v>795 06 00</v>
      </c>
      <c r="F140" s="1667"/>
      <c r="G140" s="2299">
        <f aca="true" t="shared" si="9" ref="G140:I142">G141</f>
        <v>1511</v>
      </c>
      <c r="H140" s="2299">
        <f t="shared" si="9"/>
        <v>1586.55</v>
      </c>
      <c r="I140" s="1676">
        <f t="shared" si="9"/>
        <v>1665.8775</v>
      </c>
    </row>
    <row r="141" spans="1:9" ht="13.5" thickBot="1">
      <c r="A141" s="1641" t="s">
        <v>134</v>
      </c>
      <c r="B141" s="1609" t="str">
        <f>'Бюд.р.'!A521</f>
        <v>Закупка товаров, работ и услуг  для государственных (муниципальных) нужд</v>
      </c>
      <c r="C141" s="1515">
        <v>968</v>
      </c>
      <c r="D141" s="2297" t="s">
        <v>1241</v>
      </c>
      <c r="E141" s="1515" t="str">
        <f>'Бюд.р.'!D521</f>
        <v>795 06 00</v>
      </c>
      <c r="F141" s="1596">
        <f>'Бюд.р.'!F521</f>
        <v>200</v>
      </c>
      <c r="G141" s="1674">
        <f>'Бюд.р.'!H521</f>
        <v>1511</v>
      </c>
      <c r="H141" s="2399">
        <f>G141*1.05</f>
        <v>1586.55</v>
      </c>
      <c r="I141" s="2399">
        <f>H141*1.05</f>
        <v>1665.8775</v>
      </c>
    </row>
    <row r="142" spans="1:9" ht="24">
      <c r="A142" s="2445"/>
      <c r="B142" s="1661" t="str">
        <f>'Бюд.р.'!A526</f>
        <v>Ведомственная целевая программа по военно-патриотическому воспитанию граждан муниципального образования</v>
      </c>
      <c r="C142" s="1611">
        <v>968</v>
      </c>
      <c r="D142" s="1781" t="s">
        <v>1241</v>
      </c>
      <c r="E142" s="1611" t="str">
        <f>'Бюд.р.'!D526</f>
        <v>795 08 00</v>
      </c>
      <c r="F142" s="1667"/>
      <c r="G142" s="2299">
        <f t="shared" si="9"/>
        <v>173.99</v>
      </c>
      <c r="H142" s="2299">
        <f t="shared" si="9"/>
        <v>182.6895</v>
      </c>
      <c r="I142" s="1676">
        <f t="shared" si="9"/>
        <v>191.82397500000002</v>
      </c>
    </row>
    <row r="143" spans="1:9" ht="12.75">
      <c r="A143" s="2445"/>
      <c r="B143" s="1609" t="str">
        <f>'Бюд.р.'!A527</f>
        <v>Закупка товаров, работ и услуг  для государственных (муниципальных) нужд</v>
      </c>
      <c r="C143" s="1515">
        <v>968</v>
      </c>
      <c r="D143" s="2297" t="s">
        <v>1241</v>
      </c>
      <c r="E143" s="1515" t="str">
        <f>'Бюд.р.'!D527</f>
        <v>795 08 00</v>
      </c>
      <c r="F143" s="1596">
        <f>'Бюд.р.'!F527</f>
        <v>200</v>
      </c>
      <c r="G143" s="1674">
        <f>'Бюд.р.'!H527</f>
        <v>173.99</v>
      </c>
      <c r="H143" s="2399">
        <f>G143*1.05</f>
        <v>182.6895</v>
      </c>
      <c r="I143" s="2399">
        <f>H143*1.05</f>
        <v>191.82397500000002</v>
      </c>
    </row>
    <row r="144" spans="1:9" ht="12" customHeight="1">
      <c r="A144" s="1639" t="s">
        <v>34</v>
      </c>
      <c r="B144" s="1658" t="s">
        <v>237</v>
      </c>
      <c r="C144" s="1604" t="s">
        <v>591</v>
      </c>
      <c r="D144" s="1602" t="s">
        <v>292</v>
      </c>
      <c r="E144" s="1602"/>
      <c r="F144" s="1603"/>
      <c r="G144" s="1675">
        <f>G145+G148</f>
        <v>16354.631000000001</v>
      </c>
      <c r="H144" s="2327">
        <f>H145+H148</f>
        <v>18230.90755</v>
      </c>
      <c r="I144" s="2327">
        <f>I145+I148</f>
        <v>19384.982927499997</v>
      </c>
    </row>
    <row r="145" spans="1:9" ht="12.75" customHeight="1">
      <c r="A145" s="1638" t="s">
        <v>35</v>
      </c>
      <c r="B145" s="2315" t="s">
        <v>899</v>
      </c>
      <c r="C145" s="1611" t="s">
        <v>591</v>
      </c>
      <c r="D145" s="1782" t="s">
        <v>903</v>
      </c>
      <c r="E145" s="1782"/>
      <c r="F145" s="1843"/>
      <c r="G145" s="2299">
        <f aca="true" t="shared" si="10" ref="G145:I146">G146</f>
        <v>959.531</v>
      </c>
      <c r="H145" s="1676">
        <f t="shared" si="10"/>
        <v>1007.50755</v>
      </c>
      <c r="I145" s="1676">
        <f t="shared" si="10"/>
        <v>1057.8829275</v>
      </c>
    </row>
    <row r="146" spans="1:9" ht="22.5">
      <c r="A146" s="1646" t="s">
        <v>68</v>
      </c>
      <c r="B146" s="2308" t="str">
        <f>'Бюд.р.'!A533</f>
        <v>РАСХОДЫ НА ПРЕДОСТАВЛЕНИЕ ДОПЛАТ К ПЕНСИИ ЛИЦАМ, ЗАМЕЩАВШИМ МУНИЦИПАЛЬНЫЕ ДОЛЖНОСТИ И ДОЛЖНОСТИ МУНИЦИПАЛЬНОЙ СЛУЖБЫ</v>
      </c>
      <c r="C146" s="2304" t="s">
        <v>591</v>
      </c>
      <c r="D146" s="2316" t="s">
        <v>903</v>
      </c>
      <c r="E146" s="2304" t="str">
        <f>E147</f>
        <v>505 01 00</v>
      </c>
      <c r="F146" s="2306"/>
      <c r="G146" s="1671">
        <f>G147</f>
        <v>959.531</v>
      </c>
      <c r="H146" s="1671">
        <f t="shared" si="10"/>
        <v>1007.50755</v>
      </c>
      <c r="I146" s="2326">
        <f t="shared" si="10"/>
        <v>1057.8829275</v>
      </c>
    </row>
    <row r="147" spans="1:9" ht="18" customHeight="1">
      <c r="A147" s="1639" t="s">
        <v>69</v>
      </c>
      <c r="B147" s="1660" t="str">
        <f>'Бюд.р.'!A534</f>
        <v>Социальное обеспечение и иные выплаты населению</v>
      </c>
      <c r="C147" s="1652" t="s">
        <v>591</v>
      </c>
      <c r="D147" s="1606" t="s">
        <v>903</v>
      </c>
      <c r="E147" s="1607" t="str">
        <f>'Бюд.р.'!D534</f>
        <v>505 01 00</v>
      </c>
      <c r="F147" s="1608">
        <f>'Бюд.р.'!F534</f>
        <v>300</v>
      </c>
      <c r="G147" s="1674">
        <f>'Бюд.р.'!H534</f>
        <v>959.531</v>
      </c>
      <c r="H147" s="2399">
        <f>G147*1.05</f>
        <v>1007.50755</v>
      </c>
      <c r="I147" s="2399">
        <f>H147*1.05</f>
        <v>1057.8829275</v>
      </c>
    </row>
    <row r="148" spans="1:9" ht="16.5" customHeight="1">
      <c r="A148" s="1639" t="s">
        <v>1035</v>
      </c>
      <c r="B148" s="2315" t="s">
        <v>648</v>
      </c>
      <c r="C148" s="1611" t="s">
        <v>591</v>
      </c>
      <c r="D148" s="1782" t="s">
        <v>766</v>
      </c>
      <c r="E148" s="1782"/>
      <c r="F148" s="1843"/>
      <c r="G148" s="2299">
        <f>G149+G152+G154</f>
        <v>15395.1</v>
      </c>
      <c r="H148" s="2299">
        <f>H149+H152+H154</f>
        <v>17223.4</v>
      </c>
      <c r="I148" s="1676">
        <f>I149+I152+I154</f>
        <v>18327.1</v>
      </c>
    </row>
    <row r="149" spans="1:9" ht="41.25" customHeight="1">
      <c r="A149" s="1639" t="s">
        <v>1037</v>
      </c>
      <c r="B149" s="1659" t="str">
        <f>'Бюд.р.'!A539</f>
        <v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v>
      </c>
      <c r="C149" s="1604" t="s">
        <v>591</v>
      </c>
      <c r="D149" s="1602" t="s">
        <v>766</v>
      </c>
      <c r="E149" s="1604" t="str">
        <f>E150</f>
        <v>002  80 31</v>
      </c>
      <c r="F149" s="1605"/>
      <c r="G149" s="1675">
        <f>SUM(G150:G151)</f>
        <v>3723.9999999999995</v>
      </c>
      <c r="H149" s="1675">
        <f>SUM(H150:H151)</f>
        <v>4790.200000000001</v>
      </c>
      <c r="I149" s="2327">
        <f>SUM(I150:I151)</f>
        <v>5173.8</v>
      </c>
    </row>
    <row r="150" spans="1:9" ht="41.25" customHeight="1">
      <c r="A150" s="2317"/>
      <c r="B150" s="1609" t="str">
        <f>'Бюд.р.'!A540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50" s="1515">
        <v>968</v>
      </c>
      <c r="D150" s="1616">
        <v>1004</v>
      </c>
      <c r="E150" s="1515" t="str">
        <f>'Бюд.р.'!D540</f>
        <v>002  80 31</v>
      </c>
      <c r="F150" s="1596">
        <f>'Бюд.р.'!F540</f>
        <v>100</v>
      </c>
      <c r="G150" s="1670">
        <f>'Бюд.р.'!H540</f>
        <v>3469.0159999999996</v>
      </c>
      <c r="H150" s="2395">
        <v>4465.6</v>
      </c>
      <c r="I150" s="2395">
        <v>4823.2</v>
      </c>
    </row>
    <row r="151" spans="1:9" ht="16.5" customHeight="1" thickBot="1">
      <c r="A151" s="2317"/>
      <c r="B151" s="1609" t="str">
        <f>'Бюд.р.'!A546</f>
        <v>Закупка товаров, работ и услуг  для государственных (муниципальных) нужд</v>
      </c>
      <c r="C151" s="1515">
        <v>968</v>
      </c>
      <c r="D151" s="1616">
        <v>1004</v>
      </c>
      <c r="E151" s="1515" t="str">
        <f>E150</f>
        <v>002  80 31</v>
      </c>
      <c r="F151" s="1596">
        <f>'Бюд.р.'!F546</f>
        <v>200</v>
      </c>
      <c r="G151" s="1670">
        <f>'Бюд.р.'!H546</f>
        <v>254.98399999999998</v>
      </c>
      <c r="H151" s="2395">
        <v>324.6</v>
      </c>
      <c r="I151" s="2395">
        <v>350.6</v>
      </c>
    </row>
    <row r="152" spans="1:9" ht="40.5" customHeight="1" thickBot="1">
      <c r="A152" s="1647" t="s">
        <v>831</v>
      </c>
      <c r="B152" s="1658" t="str">
        <f>'Бюд.р.'!A560</f>
        <v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v>
      </c>
      <c r="C152" s="1604" t="s">
        <v>591</v>
      </c>
      <c r="D152" s="1602" t="s">
        <v>766</v>
      </c>
      <c r="E152" s="1602" t="str">
        <f>E153</f>
        <v>511 80 32</v>
      </c>
      <c r="F152" s="1603"/>
      <c r="G152" s="1675">
        <f>G153</f>
        <v>8777.5</v>
      </c>
      <c r="H152" s="1675">
        <f>H153</f>
        <v>9787.4</v>
      </c>
      <c r="I152" s="2327">
        <f>I153</f>
        <v>10277</v>
      </c>
    </row>
    <row r="153" spans="1:9" ht="13.5" thickBot="1">
      <c r="A153" s="2318"/>
      <c r="B153" s="1655" t="str">
        <f>'Бюд.р.'!A561</f>
        <v>Социальное обеспечение и иные выплаты населению</v>
      </c>
      <c r="C153" s="1515">
        <v>968</v>
      </c>
      <c r="D153" s="1616">
        <v>1004</v>
      </c>
      <c r="E153" s="1616" t="str">
        <f>'Бюд.р.'!D561</f>
        <v>511 80 32</v>
      </c>
      <c r="F153" s="1617">
        <f>'Бюд.р.'!F561</f>
        <v>300</v>
      </c>
      <c r="G153" s="1670">
        <f>'Бюд.р.'!H561</f>
        <v>8777.5</v>
      </c>
      <c r="H153" s="2395">
        <v>9787.4</v>
      </c>
      <c r="I153" s="2395">
        <v>10277</v>
      </c>
    </row>
    <row r="154" spans="1:9" ht="36">
      <c r="A154" s="1648" t="s">
        <v>906</v>
      </c>
      <c r="B154" s="1658" t="str">
        <f>'Бюд.р.'!A565</f>
        <v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v>
      </c>
      <c r="C154" s="1604" t="s">
        <v>591</v>
      </c>
      <c r="D154" s="1602" t="s">
        <v>766</v>
      </c>
      <c r="E154" s="1602" t="str">
        <f>E155</f>
        <v>511 80 33</v>
      </c>
      <c r="F154" s="1603"/>
      <c r="G154" s="1675">
        <f>G155</f>
        <v>2893.6</v>
      </c>
      <c r="H154" s="1675">
        <f>H155</f>
        <v>2645.8</v>
      </c>
      <c r="I154" s="2327">
        <f>I155</f>
        <v>2876.3</v>
      </c>
    </row>
    <row r="155" spans="1:9" ht="14.25" customHeight="1">
      <c r="A155" s="1650"/>
      <c r="B155" s="1655" t="str">
        <f>'Бюд.р.'!A566</f>
        <v>Социальное обеспечение и иные выплаты населению</v>
      </c>
      <c r="C155" s="1515">
        <v>968</v>
      </c>
      <c r="D155" s="1616">
        <v>1004</v>
      </c>
      <c r="E155" s="1616" t="str">
        <f>'Бюд.р.'!D566</f>
        <v>511 80 33</v>
      </c>
      <c r="F155" s="1617">
        <f>'Бюд.р.'!F566</f>
        <v>300</v>
      </c>
      <c r="G155" s="1670">
        <f>'Бюд.р.'!H566</f>
        <v>2893.6</v>
      </c>
      <c r="H155" s="2395">
        <v>2645.8</v>
      </c>
      <c r="I155" s="2395">
        <v>2876.3</v>
      </c>
    </row>
    <row r="156" spans="1:9" ht="12.75">
      <c r="A156" s="1639" t="s">
        <v>907</v>
      </c>
      <c r="B156" s="1661" t="s">
        <v>821</v>
      </c>
      <c r="C156" s="1611">
        <v>968</v>
      </c>
      <c r="D156" s="1611">
        <v>1100</v>
      </c>
      <c r="E156" s="1611"/>
      <c r="F156" s="1667"/>
      <c r="G156" s="1675">
        <f aca="true" t="shared" si="11" ref="G156:I158">G157</f>
        <v>3380.6850000000004</v>
      </c>
      <c r="H156" s="2327">
        <f t="shared" si="11"/>
        <v>3549.7192500000006</v>
      </c>
      <c r="I156" s="2327">
        <f t="shared" si="11"/>
        <v>3727.205212500001</v>
      </c>
    </row>
    <row r="157" spans="1:9" ht="12.75">
      <c r="A157" s="1638" t="s">
        <v>908</v>
      </c>
      <c r="B157" s="1661" t="s">
        <v>822</v>
      </c>
      <c r="C157" s="1611">
        <v>968</v>
      </c>
      <c r="D157" s="1611">
        <v>1102</v>
      </c>
      <c r="E157" s="1611"/>
      <c r="F157" s="1667"/>
      <c r="G157" s="2299">
        <f t="shared" si="11"/>
        <v>3380.6850000000004</v>
      </c>
      <c r="H157" s="1676">
        <f t="shared" si="11"/>
        <v>3549.7192500000006</v>
      </c>
      <c r="I157" s="1676">
        <f t="shared" si="11"/>
        <v>3727.205212500001</v>
      </c>
    </row>
    <row r="158" spans="1:9" ht="52.5" customHeight="1">
      <c r="A158" s="1638" t="s">
        <v>185</v>
      </c>
      <c r="B158" s="1659" t="str">
        <f>'Бюд.р.'!A580</f>
        <v>Ведомственная целевая программа по  обеспечению условий для развития на территории муниципального образования физической культуры и массового спорта, по организации и проведению официальных физкультурных мероприятий, физкультурно-оздоровительных мероприятий и спортивных мероприятий МО</v>
      </c>
      <c r="C158" s="1604">
        <v>968</v>
      </c>
      <c r="D158" s="1604">
        <v>1102</v>
      </c>
      <c r="E158" s="1604" t="str">
        <f>E159</f>
        <v>795 10 00</v>
      </c>
      <c r="F158" s="1605"/>
      <c r="G158" s="1675">
        <f>G159</f>
        <v>3380.6850000000004</v>
      </c>
      <c r="H158" s="1675">
        <f t="shared" si="11"/>
        <v>3549.7192500000006</v>
      </c>
      <c r="I158" s="2327">
        <f t="shared" si="11"/>
        <v>3727.205212500001</v>
      </c>
    </row>
    <row r="159" spans="1:9" ht="13.5" customHeight="1" thickBot="1">
      <c r="A159" s="1649" t="s">
        <v>186</v>
      </c>
      <c r="B159" s="1609" t="str">
        <f>'Бюд.р.'!A581</f>
        <v>Закупка товаров, работ и услуг  для государственных (муниципальных) нужд</v>
      </c>
      <c r="C159" s="1515">
        <v>968</v>
      </c>
      <c r="D159" s="1515">
        <v>1102</v>
      </c>
      <c r="E159" s="1515" t="str">
        <f>'Бюд.р.'!D581</f>
        <v>795 10 00</v>
      </c>
      <c r="F159" s="1596">
        <f>'Бюд.р.'!F581</f>
        <v>200</v>
      </c>
      <c r="G159" s="1674">
        <f>'Бюд.р.'!H581</f>
        <v>3380.6850000000004</v>
      </c>
      <c r="H159" s="2367">
        <f>G159*1.05</f>
        <v>3549.7192500000006</v>
      </c>
      <c r="I159" s="2367">
        <f>H159*1.05</f>
        <v>3727.205212500001</v>
      </c>
    </row>
    <row r="160" spans="1:9" ht="12.75">
      <c r="A160" s="1595" t="s">
        <v>996</v>
      </c>
      <c r="B160" s="1661" t="s">
        <v>823</v>
      </c>
      <c r="C160" s="1611">
        <v>968</v>
      </c>
      <c r="D160" s="1611">
        <v>1200</v>
      </c>
      <c r="E160" s="1611"/>
      <c r="F160" s="1667"/>
      <c r="G160" s="1675">
        <f aca="true" t="shared" si="12" ref="G160:I162">G161</f>
        <v>1464.75</v>
      </c>
      <c r="H160" s="2327">
        <f t="shared" si="12"/>
        <v>1537.9875</v>
      </c>
      <c r="I160" s="2327">
        <f t="shared" si="12"/>
        <v>1614.886875</v>
      </c>
    </row>
    <row r="161" spans="1:9" ht="15" customHeight="1" thickBot="1">
      <c r="A161" s="1645" t="s">
        <v>997</v>
      </c>
      <c r="B161" s="2319" t="s">
        <v>642</v>
      </c>
      <c r="C161" s="2320">
        <v>968</v>
      </c>
      <c r="D161" s="2320">
        <v>1202</v>
      </c>
      <c r="E161" s="2320"/>
      <c r="F161" s="2321"/>
      <c r="G161" s="2322">
        <f t="shared" si="12"/>
        <v>1464.75</v>
      </c>
      <c r="H161" s="2401">
        <f t="shared" si="12"/>
        <v>1537.9875</v>
      </c>
      <c r="I161" s="2401">
        <f t="shared" si="12"/>
        <v>1614.886875</v>
      </c>
    </row>
    <row r="162" spans="1:9" ht="13.5" thickBot="1">
      <c r="A162" s="1175"/>
      <c r="B162" s="1588" t="s">
        <v>964</v>
      </c>
      <c r="C162" s="1589">
        <v>968</v>
      </c>
      <c r="D162" s="1590">
        <v>1202</v>
      </c>
      <c r="E162" s="1590" t="str">
        <f>E163</f>
        <v>457 03 00</v>
      </c>
      <c r="F162" s="1651"/>
      <c r="G162" s="2323">
        <f>G163</f>
        <v>1464.75</v>
      </c>
      <c r="H162" s="2323">
        <f t="shared" si="12"/>
        <v>1537.9875</v>
      </c>
      <c r="I162" s="2328">
        <f t="shared" si="12"/>
        <v>1614.886875</v>
      </c>
    </row>
    <row r="163" spans="1:9" ht="18" customHeight="1" thickBot="1">
      <c r="A163" s="1274"/>
      <c r="B163" s="1591" t="str">
        <f>'Бюд.р.'!A595</f>
        <v>Закупка товаров, работ и услуг  для государственных (муниципальных) нужд</v>
      </c>
      <c r="C163" s="1592">
        <v>968</v>
      </c>
      <c r="D163" s="1593">
        <v>1202</v>
      </c>
      <c r="E163" s="1593" t="str">
        <f>'Бюд.р.'!D595</f>
        <v>457 03 00</v>
      </c>
      <c r="F163" s="1594">
        <f>'Бюд.р.'!F595</f>
        <v>200</v>
      </c>
      <c r="G163" s="2324">
        <f>'Бюд.р.'!H595</f>
        <v>1464.75</v>
      </c>
      <c r="H163" s="2402">
        <f>G163*1.05</f>
        <v>1537.9875</v>
      </c>
      <c r="I163" s="2403">
        <f>H163*1.05</f>
        <v>1614.886875</v>
      </c>
    </row>
    <row r="164" spans="2:9" ht="24.75" customHeight="1" thickBot="1">
      <c r="B164" s="3269" t="s">
        <v>1048</v>
      </c>
      <c r="C164" s="3270"/>
      <c r="D164" s="3270"/>
      <c r="E164" s="3270"/>
      <c r="F164" s="3271"/>
      <c r="G164" s="1619" t="e">
        <f>G11-G20</f>
        <v>#REF!</v>
      </c>
      <c r="H164" s="2404" t="e">
        <f>H11-H20</f>
        <v>#REF!</v>
      </c>
      <c r="I164" s="2405" t="e">
        <f>I11-I20</f>
        <v>#REF!</v>
      </c>
    </row>
    <row r="165" spans="2:9" ht="20.25" customHeight="1">
      <c r="B165" s="3249" t="s">
        <v>1059</v>
      </c>
      <c r="C165" s="3250"/>
      <c r="D165" s="3250"/>
      <c r="E165" s="3250"/>
      <c r="F165" s="3251"/>
      <c r="G165" s="1620" t="e">
        <f>G164/(G12+G13)</f>
        <v>#REF!</v>
      </c>
      <c r="H165" s="2406" t="e">
        <f>H164/(H12+H13)</f>
        <v>#REF!</v>
      </c>
      <c r="I165" s="2407" t="e">
        <f>I164/(I12+I13)</f>
        <v>#REF!</v>
      </c>
    </row>
    <row r="166" spans="2:9" ht="15.75">
      <c r="B166" s="3246" t="s">
        <v>1057</v>
      </c>
      <c r="C166" s="3247"/>
      <c r="D166" s="3247"/>
      <c r="E166" s="3247"/>
      <c r="F166" s="3248"/>
      <c r="G166" s="1621">
        <v>0</v>
      </c>
      <c r="H166" s="2392">
        <v>0</v>
      </c>
      <c r="I166" s="2408">
        <v>0</v>
      </c>
    </row>
    <row r="167" spans="2:9" ht="15.75">
      <c r="B167" s="3246" t="s">
        <v>1049</v>
      </c>
      <c r="C167" s="3247"/>
      <c r="D167" s="3247"/>
      <c r="E167" s="3247"/>
      <c r="F167" s="3248"/>
      <c r="G167" s="1622" t="s">
        <v>1054</v>
      </c>
      <c r="H167" s="1622" t="s">
        <v>1111</v>
      </c>
      <c r="I167" s="2381" t="s">
        <v>1306</v>
      </c>
    </row>
    <row r="168" spans="2:9" ht="15.75" customHeight="1">
      <c r="B168" s="3239" t="str">
        <f>'ДОХ.Пр.1'!D13</f>
        <v>Налог, взимаемый в связи с применением упрощенной системы налогообложения</v>
      </c>
      <c r="C168" s="3240"/>
      <c r="D168" s="3240"/>
      <c r="E168" s="3240"/>
      <c r="F168" s="3241"/>
      <c r="G168" s="1621">
        <v>10</v>
      </c>
      <c r="H168" s="1623">
        <v>10</v>
      </c>
      <c r="I168" s="2382">
        <v>10</v>
      </c>
    </row>
    <row r="169" spans="2:9" ht="15.75">
      <c r="B169" s="3239" t="str">
        <f>'ДОХ.Пр.1'!D22</f>
        <v>Единый налог на вмененный доход для отдельных видов деятельности</v>
      </c>
      <c r="C169" s="3240"/>
      <c r="D169" s="3240"/>
      <c r="E169" s="3240"/>
      <c r="F169" s="3241"/>
      <c r="G169" s="1621">
        <v>45</v>
      </c>
      <c r="H169" s="1623">
        <v>45</v>
      </c>
      <c r="I169" s="2382">
        <v>45</v>
      </c>
    </row>
    <row r="170" spans="2:9" ht="17.25" customHeight="1">
      <c r="B170" s="3252" t="s">
        <v>1112</v>
      </c>
      <c r="C170" s="3253"/>
      <c r="D170" s="3253"/>
      <c r="E170" s="3253"/>
      <c r="F170" s="3254"/>
      <c r="G170" s="1621">
        <v>45</v>
      </c>
      <c r="H170" s="1623">
        <v>45</v>
      </c>
      <c r="I170" s="2382">
        <v>45</v>
      </c>
    </row>
    <row r="171" spans="2:9" ht="15.75">
      <c r="B171" s="3239" t="str">
        <f>'ДОХ.Пр.1'!D28</f>
        <v>Налог на имущество физических лиц</v>
      </c>
      <c r="C171" s="3240"/>
      <c r="D171" s="3240"/>
      <c r="E171" s="3240"/>
      <c r="F171" s="3241"/>
      <c r="G171" s="1621">
        <v>100</v>
      </c>
      <c r="H171" s="1623">
        <v>100</v>
      </c>
      <c r="I171" s="2382">
        <v>100</v>
      </c>
    </row>
    <row r="172" spans="2:9" ht="16.5" thickBot="1">
      <c r="B172" s="3243" t="s">
        <v>1056</v>
      </c>
      <c r="C172" s="3244"/>
      <c r="D172" s="3244"/>
      <c r="E172" s="3244"/>
      <c r="F172" s="3245"/>
      <c r="G172" s="2383">
        <v>100</v>
      </c>
      <c r="H172" s="2384">
        <v>100</v>
      </c>
      <c r="I172" s="2385">
        <v>100</v>
      </c>
    </row>
    <row r="173" ht="21" customHeight="1">
      <c r="B173" s="808" t="s">
        <v>170</v>
      </c>
    </row>
    <row r="175" spans="2:9" ht="15.75">
      <c r="B175" s="3242" t="s">
        <v>1230</v>
      </c>
      <c r="C175" s="3242"/>
      <c r="D175" s="3242"/>
      <c r="E175" s="3242"/>
      <c r="F175" s="3242"/>
      <c r="G175" s="3242"/>
      <c r="H175" s="3242"/>
      <c r="I175" s="3242"/>
    </row>
  </sheetData>
  <sheetProtection/>
  <mergeCells count="30">
    <mergeCell ref="B5:I5"/>
    <mergeCell ref="H9:I9"/>
    <mergeCell ref="B9:F10"/>
    <mergeCell ref="B164:F164"/>
    <mergeCell ref="B11:F11"/>
    <mergeCell ref="B17:F17"/>
    <mergeCell ref="B15:F15"/>
    <mergeCell ref="B18:F18"/>
    <mergeCell ref="B19:F19"/>
    <mergeCell ref="B20:F20"/>
    <mergeCell ref="B13:F13"/>
    <mergeCell ref="B16:F16"/>
    <mergeCell ref="B1:I1"/>
    <mergeCell ref="B2:I2"/>
    <mergeCell ref="B3:I3"/>
    <mergeCell ref="B4:I4"/>
    <mergeCell ref="B14:F14"/>
    <mergeCell ref="A6:I6"/>
    <mergeCell ref="A7:I7"/>
    <mergeCell ref="A8:I8"/>
    <mergeCell ref="B12:F12"/>
    <mergeCell ref="B171:F171"/>
    <mergeCell ref="B175:I175"/>
    <mergeCell ref="B172:F172"/>
    <mergeCell ref="B167:F167"/>
    <mergeCell ref="B165:F165"/>
    <mergeCell ref="B166:F166"/>
    <mergeCell ref="B168:F168"/>
    <mergeCell ref="B169:F169"/>
    <mergeCell ref="B170:F17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87"/>
  <sheetViews>
    <sheetView zoomScale="91" zoomScaleNormal="91" zoomScalePageLayoutView="0" workbookViewId="0" topLeftCell="B5">
      <selection activeCell="G25" sqref="G25"/>
    </sheetView>
  </sheetViews>
  <sheetFormatPr defaultColWidth="9.00390625" defaultRowHeight="12.75"/>
  <cols>
    <col min="1" max="1" width="9.125" style="0" hidden="1" customWidth="1"/>
    <col min="2" max="2" width="27.875" style="0" customWidth="1"/>
  </cols>
  <sheetData>
    <row r="1" spans="1:11" ht="15" hidden="1">
      <c r="A1" s="831"/>
      <c r="B1" s="3261" t="s">
        <v>910</v>
      </c>
      <c r="C1" s="3261"/>
      <c r="D1" s="3261"/>
      <c r="E1" s="3261"/>
      <c r="F1" s="3261"/>
      <c r="G1" s="3261"/>
      <c r="H1" s="3261"/>
      <c r="I1" s="3261"/>
      <c r="J1" s="3261"/>
      <c r="K1" s="3261"/>
    </row>
    <row r="2" spans="1:11" ht="15" hidden="1">
      <c r="A2" s="831"/>
      <c r="B2" s="3261" t="s">
        <v>1042</v>
      </c>
      <c r="C2" s="3261"/>
      <c r="D2" s="3261"/>
      <c r="E2" s="3261"/>
      <c r="F2" s="3261"/>
      <c r="G2" s="3261"/>
      <c r="H2" s="3261"/>
      <c r="I2" s="3261"/>
      <c r="J2" s="3261"/>
      <c r="K2" s="3261"/>
    </row>
    <row r="3" spans="1:11" ht="15" hidden="1">
      <c r="A3" s="831"/>
      <c r="B3" s="3261" t="s">
        <v>1043</v>
      </c>
      <c r="C3" s="3261"/>
      <c r="D3" s="3261"/>
      <c r="E3" s="3261"/>
      <c r="F3" s="3261"/>
      <c r="G3" s="3261"/>
      <c r="H3" s="3261"/>
      <c r="I3" s="3261"/>
      <c r="J3" s="3261"/>
      <c r="K3" s="3261"/>
    </row>
    <row r="4" spans="1:11" ht="15" hidden="1">
      <c r="A4" s="831"/>
      <c r="B4" s="3261" t="s">
        <v>1061</v>
      </c>
      <c r="C4" s="3261"/>
      <c r="D4" s="3261"/>
      <c r="E4" s="3261"/>
      <c r="F4" s="3261"/>
      <c r="G4" s="3261"/>
      <c r="H4" s="3261"/>
      <c r="I4" s="3261"/>
      <c r="J4" s="3261"/>
      <c r="K4" s="3261"/>
    </row>
    <row r="5" spans="1:11" ht="15.75">
      <c r="A5" s="3174" t="s">
        <v>1062</v>
      </c>
      <c r="B5" s="3174"/>
      <c r="C5" s="3174"/>
      <c r="D5" s="3174"/>
      <c r="E5" s="3174"/>
      <c r="F5" s="3174"/>
      <c r="G5" s="3174"/>
      <c r="H5" s="3174"/>
      <c r="I5" s="3174"/>
      <c r="J5" s="1275"/>
      <c r="K5" s="1275"/>
    </row>
    <row r="6" spans="1:11" ht="15.75">
      <c r="A6" s="3174" t="s">
        <v>1045</v>
      </c>
      <c r="B6" s="3174"/>
      <c r="C6" s="3174"/>
      <c r="D6" s="3174"/>
      <c r="E6" s="3174"/>
      <c r="F6" s="3174"/>
      <c r="G6" s="3174"/>
      <c r="H6" s="3174"/>
      <c r="I6" s="3174"/>
      <c r="J6" s="1275"/>
      <c r="K6" s="1275"/>
    </row>
    <row r="7" spans="1:11" ht="19.5" thickBot="1">
      <c r="A7" s="3262" t="s">
        <v>1046</v>
      </c>
      <c r="B7" s="3262"/>
      <c r="C7" s="3262"/>
      <c r="D7" s="3262"/>
      <c r="E7" s="3262"/>
      <c r="F7" s="3262"/>
      <c r="G7" s="3262"/>
      <c r="H7" s="3262"/>
      <c r="I7" s="3262"/>
      <c r="J7" s="1275"/>
      <c r="K7" s="1275"/>
    </row>
    <row r="8" spans="1:11" ht="19.5" hidden="1" thickBot="1">
      <c r="A8" s="1276"/>
      <c r="B8" s="3311" t="s">
        <v>1060</v>
      </c>
      <c r="C8" s="3312"/>
      <c r="D8" s="3312"/>
      <c r="E8" s="3312"/>
      <c r="F8" s="3312"/>
      <c r="G8" s="1394"/>
      <c r="H8" s="1394"/>
      <c r="I8" s="1287" t="s">
        <v>1052</v>
      </c>
      <c r="J8" s="1288" t="s">
        <v>1053</v>
      </c>
      <c r="K8" s="1289" t="s">
        <v>1054</v>
      </c>
    </row>
    <row r="9" spans="1:11" ht="16.5" hidden="1" thickBot="1">
      <c r="A9" s="1283"/>
      <c r="B9" s="3313" t="s">
        <v>1047</v>
      </c>
      <c r="C9" s="3314"/>
      <c r="D9" s="3314"/>
      <c r="E9" s="3314"/>
      <c r="F9" s="3314"/>
      <c r="G9" s="1393"/>
      <c r="H9" s="1393"/>
      <c r="I9" s="1291">
        <f>SUM(I10:I12)</f>
        <v>121000</v>
      </c>
      <c r="J9" s="1329">
        <f>SUM(J10:J12)</f>
        <v>125676.365</v>
      </c>
      <c r="K9" s="1330">
        <f>SUM(K10:K12)</f>
        <v>132140.65825000004</v>
      </c>
    </row>
    <row r="10" spans="1:11" ht="18.75" hidden="1">
      <c r="A10" s="1284"/>
      <c r="B10" s="3315" t="s">
        <v>788</v>
      </c>
      <c r="C10" s="3316"/>
      <c r="D10" s="3316"/>
      <c r="E10" s="3316"/>
      <c r="F10" s="3317"/>
      <c r="G10" s="1395"/>
      <c r="H10" s="1395"/>
      <c r="I10" s="1290">
        <f>'ДОХ.Пр.1'!E11</f>
        <v>102972.5</v>
      </c>
      <c r="J10" s="1331">
        <f>I10*1.05+556.6</f>
        <v>108677.725</v>
      </c>
      <c r="K10" s="1332">
        <f>J10*1.05</f>
        <v>114111.61125000002</v>
      </c>
    </row>
    <row r="11" spans="1:11" ht="18.75" hidden="1">
      <c r="A11" s="1284"/>
      <c r="B11" s="3318" t="s">
        <v>789</v>
      </c>
      <c r="C11" s="3319"/>
      <c r="D11" s="3319"/>
      <c r="E11" s="3319"/>
      <c r="F11" s="3320"/>
      <c r="G11" s="1396"/>
      <c r="H11" s="1396"/>
      <c r="I11" s="1285">
        <f>'ДОХ.Пр.1'!E33</f>
        <v>2626.8</v>
      </c>
      <c r="J11" s="1333">
        <f>I11*1.05</f>
        <v>2758.1400000000003</v>
      </c>
      <c r="K11" s="1334">
        <f>J11*1.05</f>
        <v>2896.0470000000005</v>
      </c>
    </row>
    <row r="12" spans="1:11" ht="18.75" hidden="1">
      <c r="A12" s="1284"/>
      <c r="B12" s="3318" t="s">
        <v>1050</v>
      </c>
      <c r="C12" s="3319"/>
      <c r="D12" s="3319"/>
      <c r="E12" s="3319"/>
      <c r="F12" s="3320"/>
      <c r="G12" s="1396"/>
      <c r="H12" s="1396"/>
      <c r="I12" s="1285">
        <f>SUM(I13:I17)</f>
        <v>15400.7</v>
      </c>
      <c r="J12" s="1335">
        <f>SUM(J13:J17)</f>
        <v>14240.5</v>
      </c>
      <c r="K12" s="1336">
        <f>SUM(K13:K17)</f>
        <v>15133</v>
      </c>
    </row>
    <row r="13" spans="1:11" ht="18.75" hidden="1">
      <c r="A13" s="1284"/>
      <c r="B13" s="3302" t="s">
        <v>412</v>
      </c>
      <c r="C13" s="3303"/>
      <c r="D13" s="3303"/>
      <c r="E13" s="3303"/>
      <c r="F13" s="3304"/>
      <c r="G13" s="1397"/>
      <c r="H13" s="1397"/>
      <c r="I13" s="1286">
        <v>0</v>
      </c>
      <c r="J13" s="1337">
        <v>0</v>
      </c>
      <c r="K13" s="1338">
        <v>0</v>
      </c>
    </row>
    <row r="14" spans="1:11" ht="18.75" hidden="1">
      <c r="A14" s="1284"/>
      <c r="B14" s="3302" t="str">
        <f>'ДОХ.Пр.1'!D82</f>
        <v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v>
      </c>
      <c r="C14" s="3303"/>
      <c r="D14" s="3303"/>
      <c r="E14" s="3303"/>
      <c r="F14" s="3304"/>
      <c r="G14" s="1397"/>
      <c r="H14" s="1397"/>
      <c r="I14" s="1286">
        <f>'ДОХ.Пр.1'!E82</f>
        <v>3724</v>
      </c>
      <c r="J14" s="1337">
        <v>3628.3</v>
      </c>
      <c r="K14" s="1338">
        <v>3863.9</v>
      </c>
    </row>
    <row r="15" spans="1:11" ht="18.75" hidden="1">
      <c r="A15" s="1284"/>
      <c r="B15" s="3302" t="str">
        <f>'ДОХ.Пр.1'!D83</f>
        <v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v>
      </c>
      <c r="C15" s="3303"/>
      <c r="D15" s="3303"/>
      <c r="E15" s="3303"/>
      <c r="F15" s="3304"/>
      <c r="G15" s="1397"/>
      <c r="H15" s="1397"/>
      <c r="I15" s="1286">
        <f>'ДОХ.Пр.1'!E83</f>
        <v>5.6</v>
      </c>
      <c r="J15" s="1337">
        <v>5.3</v>
      </c>
      <c r="K15" s="1338">
        <v>5.6</v>
      </c>
    </row>
    <row r="16" spans="1:11" ht="18.75" hidden="1">
      <c r="A16" s="1284"/>
      <c r="B16" s="3219" t="str">
        <f>'ДОХ.Пр.1'!D86</f>
        <v>Субвенции бюджетам внутригородских муниципальных образований Санкт-Петербурга на содержание ребенка в семъе опекуна и приемной семье</v>
      </c>
      <c r="C16" s="3222"/>
      <c r="D16" s="3222"/>
      <c r="E16" s="3222"/>
      <c r="F16" s="3305"/>
      <c r="G16" s="1398"/>
      <c r="H16" s="1398"/>
      <c r="I16" s="1286">
        <f>'ДОХ.Пр.1'!E86</f>
        <v>8777.5</v>
      </c>
      <c r="J16" s="1337">
        <v>8312.4</v>
      </c>
      <c r="K16" s="1338">
        <v>8820</v>
      </c>
    </row>
    <row r="17" spans="1:11" ht="19.5" hidden="1" thickBot="1">
      <c r="A17" s="1284"/>
      <c r="B17" s="3306" t="str">
        <f>'ДОХ.Пр.1'!D87</f>
        <v>Субвенции бюджетам внутригородских муниципальных образований  Санкт-Петербурга на вознаграждение, причитающееся приемному родителю</v>
      </c>
      <c r="C17" s="3307"/>
      <c r="D17" s="3307"/>
      <c r="E17" s="3307"/>
      <c r="F17" s="3308"/>
      <c r="G17" s="1399"/>
      <c r="H17" s="1399"/>
      <c r="I17" s="1292">
        <f>'ДОХ.Пр.1'!E87</f>
        <v>2893.6000000000004</v>
      </c>
      <c r="J17" s="1339">
        <v>2294.5</v>
      </c>
      <c r="K17" s="1340">
        <v>2443.5</v>
      </c>
    </row>
    <row r="18" spans="1:11" ht="16.5" thickBot="1">
      <c r="A18" s="1283"/>
      <c r="B18" s="3309" t="s">
        <v>1051</v>
      </c>
      <c r="C18" s="3310"/>
      <c r="D18" s="3310"/>
      <c r="E18" s="3310"/>
      <c r="F18" s="3310"/>
      <c r="G18" s="3288" t="s">
        <v>1063</v>
      </c>
      <c r="H18" s="3289"/>
      <c r="I18" s="1277" t="s">
        <v>1052</v>
      </c>
      <c r="J18" s="1341" t="s">
        <v>1053</v>
      </c>
      <c r="K18" s="1342" t="s">
        <v>1055</v>
      </c>
    </row>
    <row r="19" spans="1:11" ht="57" thickBot="1">
      <c r="A19" s="1258" t="s">
        <v>794</v>
      </c>
      <c r="B19" s="1299" t="s">
        <v>219</v>
      </c>
      <c r="C19" s="1204" t="s">
        <v>444</v>
      </c>
      <c r="D19" s="1259" t="s">
        <v>232</v>
      </c>
      <c r="E19" s="1259" t="s">
        <v>230</v>
      </c>
      <c r="F19" s="1407" t="s">
        <v>101</v>
      </c>
      <c r="G19" s="1474" t="s">
        <v>79</v>
      </c>
      <c r="H19" s="1474" t="s">
        <v>1064</v>
      </c>
      <c r="I19" s="1450" t="s">
        <v>1052</v>
      </c>
      <c r="J19" s="1341" t="s">
        <v>1053</v>
      </c>
      <c r="K19" s="1342" t="s">
        <v>1055</v>
      </c>
    </row>
    <row r="20" spans="1:11" ht="13.5" thickBot="1">
      <c r="A20" s="251" t="s">
        <v>678</v>
      </c>
      <c r="B20" s="1300">
        <v>2</v>
      </c>
      <c r="C20" s="1206" t="s">
        <v>472</v>
      </c>
      <c r="D20" s="168" t="s">
        <v>614</v>
      </c>
      <c r="E20" s="168" t="s">
        <v>295</v>
      </c>
      <c r="F20" s="1408" t="s">
        <v>296</v>
      </c>
      <c r="G20" s="1475"/>
      <c r="H20" s="1475"/>
      <c r="I20" s="1451">
        <v>7</v>
      </c>
      <c r="J20" s="1343">
        <v>8</v>
      </c>
      <c r="K20" s="1344">
        <v>9</v>
      </c>
    </row>
    <row r="21" spans="1:11" ht="13.5" thickBot="1">
      <c r="A21" s="1271"/>
      <c r="B21" s="1301" t="str">
        <f>'Бюд.р.'!A57</f>
        <v>МУНИЦИПАЛЬНЫЙ СОВЕТ МО МО ОЗЕРО ДОЛГОЕ</v>
      </c>
      <c r="C21" s="1272">
        <v>925</v>
      </c>
      <c r="D21" s="1273"/>
      <c r="E21" s="1273"/>
      <c r="F21" s="1409"/>
      <c r="G21" s="1476"/>
      <c r="H21" s="1476"/>
      <c r="I21" s="1452">
        <f>I22</f>
        <v>4096.5869999999995</v>
      </c>
      <c r="J21" s="1345">
        <f>J22</f>
        <v>4301.4163499999995</v>
      </c>
      <c r="K21" s="1346">
        <f>K22</f>
        <v>4516.4871675</v>
      </c>
    </row>
    <row r="22" spans="1:11" ht="23.25" thickBot="1">
      <c r="A22" s="1229" t="s">
        <v>607</v>
      </c>
      <c r="B22" s="1302" t="s">
        <v>102</v>
      </c>
      <c r="C22" s="1230" t="s">
        <v>83</v>
      </c>
      <c r="D22" s="1231" t="s">
        <v>457</v>
      </c>
      <c r="E22" s="1231"/>
      <c r="F22" s="1410"/>
      <c r="G22" s="1477"/>
      <c r="H22" s="1477"/>
      <c r="I22" s="1453">
        <f>I26+I23</f>
        <v>4096.5869999999995</v>
      </c>
      <c r="J22" s="1347">
        <f>J26+J23</f>
        <v>4301.4163499999995</v>
      </c>
      <c r="K22" s="1348">
        <f>K26+K23</f>
        <v>4516.4871675</v>
      </c>
    </row>
    <row r="23" spans="1:11" ht="45">
      <c r="A23" s="1232" t="s">
        <v>678</v>
      </c>
      <c r="B23" s="1303" t="s">
        <v>132</v>
      </c>
      <c r="C23" s="1233" t="s">
        <v>83</v>
      </c>
      <c r="D23" s="1234" t="s">
        <v>456</v>
      </c>
      <c r="E23" s="1234"/>
      <c r="F23" s="1411"/>
      <c r="G23" s="1237"/>
      <c r="H23" s="1237"/>
      <c r="I23" s="1454">
        <f aca="true" t="shared" si="0" ref="I23:K24">I24</f>
        <v>1148.509</v>
      </c>
      <c r="J23" s="1349">
        <f t="shared" si="0"/>
        <v>1205.93445</v>
      </c>
      <c r="K23" s="1350">
        <f t="shared" si="0"/>
        <v>1266.2311725</v>
      </c>
    </row>
    <row r="24" spans="1:11" ht="22.5">
      <c r="A24" s="1163" t="s">
        <v>245</v>
      </c>
      <c r="B24" s="1304" t="s">
        <v>459</v>
      </c>
      <c r="C24" s="1131" t="s">
        <v>83</v>
      </c>
      <c r="D24" s="1132" t="s">
        <v>456</v>
      </c>
      <c r="E24" s="1132" t="s">
        <v>460</v>
      </c>
      <c r="F24" s="1412"/>
      <c r="G24" s="1132"/>
      <c r="H24" s="1132"/>
      <c r="I24" s="1455">
        <f t="shared" si="0"/>
        <v>1148.509</v>
      </c>
      <c r="J24" s="1351">
        <f t="shared" si="0"/>
        <v>1205.93445</v>
      </c>
      <c r="K24" s="1352">
        <f t="shared" si="0"/>
        <v>1266.2311725</v>
      </c>
    </row>
    <row r="25" spans="1:11" ht="22.5">
      <c r="A25" s="1162" t="s">
        <v>182</v>
      </c>
      <c r="B25" s="1305" t="str">
        <f>'Бюд.р.'!A62</f>
        <v>Фонд оплаты труда и страховые взносы</v>
      </c>
      <c r="C25" s="1109" t="s">
        <v>83</v>
      </c>
      <c r="D25" s="1110" t="s">
        <v>456</v>
      </c>
      <c r="E25" s="1110" t="s">
        <v>460</v>
      </c>
      <c r="F25" s="1413" t="s">
        <v>1017</v>
      </c>
      <c r="G25" s="1110"/>
      <c r="H25" s="1110"/>
      <c r="I25" s="1456">
        <f>'Бюд.р.'!H62</f>
        <v>1148.509</v>
      </c>
      <c r="J25" s="1353">
        <f>I25*1.05</f>
        <v>1205.93445</v>
      </c>
      <c r="K25" s="1354">
        <f>J25*1.05</f>
        <v>1266.2311725</v>
      </c>
    </row>
    <row r="26" spans="1:11" ht="67.5">
      <c r="A26" s="1235" t="s">
        <v>768</v>
      </c>
      <c r="B26" s="1306" t="s">
        <v>853</v>
      </c>
      <c r="C26" s="1236" t="s">
        <v>83</v>
      </c>
      <c r="D26" s="1237" t="s">
        <v>474</v>
      </c>
      <c r="E26" s="1237"/>
      <c r="F26" s="1414"/>
      <c r="G26" s="1237"/>
      <c r="H26" s="1237"/>
      <c r="I26" s="1457">
        <f>I27+I32</f>
        <v>2948.078</v>
      </c>
      <c r="J26" s="1355">
        <f>J27+J32</f>
        <v>3095.4818999999998</v>
      </c>
      <c r="K26" s="1356">
        <f>K27+K32</f>
        <v>3250.2559950000004</v>
      </c>
    </row>
    <row r="27" spans="1:11" ht="45">
      <c r="A27" s="1163" t="s">
        <v>280</v>
      </c>
      <c r="B27" s="1201" t="s">
        <v>478</v>
      </c>
      <c r="C27" s="1147">
        <v>925</v>
      </c>
      <c r="D27" s="1134">
        <v>103</v>
      </c>
      <c r="E27" s="1213" t="s">
        <v>45</v>
      </c>
      <c r="F27" s="1266"/>
      <c r="G27" s="1134"/>
      <c r="H27" s="1134"/>
      <c r="I27" s="1455">
        <f>I28+I30</f>
        <v>1353.225</v>
      </c>
      <c r="J27" s="1351">
        <f>J28+J30</f>
        <v>1420.88625</v>
      </c>
      <c r="K27" s="1352">
        <f>K28+K30</f>
        <v>1491.9305625000002</v>
      </c>
    </row>
    <row r="28" spans="1:11" ht="33.75">
      <c r="A28" s="1163" t="s">
        <v>187</v>
      </c>
      <c r="B28" s="1201" t="s">
        <v>46</v>
      </c>
      <c r="C28" s="1147">
        <v>925</v>
      </c>
      <c r="D28" s="1134">
        <v>103</v>
      </c>
      <c r="E28" s="1134" t="s">
        <v>47</v>
      </c>
      <c r="F28" s="1415"/>
      <c r="G28" s="1223"/>
      <c r="H28" s="1223"/>
      <c r="I28" s="1455">
        <f>I29</f>
        <v>1088.625</v>
      </c>
      <c r="J28" s="1351">
        <f>J29</f>
        <v>1143.05625</v>
      </c>
      <c r="K28" s="1352">
        <f>K29</f>
        <v>1200.2090625</v>
      </c>
    </row>
    <row r="29" spans="1:11" ht="22.5">
      <c r="A29" s="1162" t="s">
        <v>188</v>
      </c>
      <c r="B29" s="1305" t="str">
        <f>'Бюд.р.'!A70</f>
        <v>Фонд оплаты труда и страховые взносы</v>
      </c>
      <c r="C29" s="1210">
        <v>925</v>
      </c>
      <c r="D29" s="1124">
        <v>103</v>
      </c>
      <c r="E29" s="1124" t="s">
        <v>47</v>
      </c>
      <c r="F29" s="1269">
        <f>'Бюд.р.'!F70</f>
        <v>121</v>
      </c>
      <c r="G29" s="1124"/>
      <c r="H29" s="1124"/>
      <c r="I29" s="1458">
        <f>'Бюд.р.'!H70</f>
        <v>1088.625</v>
      </c>
      <c r="J29" s="1353">
        <f>I29*1.05</f>
        <v>1143.05625</v>
      </c>
      <c r="K29" s="1354">
        <f>J29*1.05</f>
        <v>1200.2090625</v>
      </c>
    </row>
    <row r="30" spans="1:11" ht="45">
      <c r="A30" s="1163" t="s">
        <v>502</v>
      </c>
      <c r="B30" s="1201" t="s">
        <v>935</v>
      </c>
      <c r="C30" s="1147">
        <v>925</v>
      </c>
      <c r="D30" s="1134">
        <v>103</v>
      </c>
      <c r="E30" s="1134" t="s">
        <v>49</v>
      </c>
      <c r="F30" s="1266"/>
      <c r="G30" s="1134"/>
      <c r="H30" s="1134"/>
      <c r="I30" s="1455">
        <f>I31</f>
        <v>264.6</v>
      </c>
      <c r="J30" s="1351">
        <f>J31</f>
        <v>277.83000000000004</v>
      </c>
      <c r="K30" s="1352">
        <f>K31</f>
        <v>291.72150000000005</v>
      </c>
    </row>
    <row r="31" spans="1:11" ht="78.75">
      <c r="A31" s="1162" t="s">
        <v>189</v>
      </c>
      <c r="B31" s="1200" t="str">
        <f>'Бюд.р.'!A79</f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C31" s="1210">
        <v>925</v>
      </c>
      <c r="D31" s="1124">
        <v>103</v>
      </c>
      <c r="E31" s="1124" t="s">
        <v>49</v>
      </c>
      <c r="F31" s="1269">
        <f>'Бюд.р.'!F79</f>
        <v>123</v>
      </c>
      <c r="G31" s="1124"/>
      <c r="H31" s="1124"/>
      <c r="I31" s="1458">
        <f>'Бюд.р.'!H79</f>
        <v>264.6</v>
      </c>
      <c r="J31" s="1353">
        <f>I31*1.05</f>
        <v>277.83000000000004</v>
      </c>
      <c r="K31" s="1354">
        <f>J31*1.05</f>
        <v>291.72150000000005</v>
      </c>
    </row>
    <row r="32" spans="1:11" ht="33.75">
      <c r="A32" s="1163" t="s">
        <v>197</v>
      </c>
      <c r="B32" s="1201" t="s">
        <v>44</v>
      </c>
      <c r="C32" s="1147">
        <v>925</v>
      </c>
      <c r="D32" s="1134">
        <v>103</v>
      </c>
      <c r="E32" s="1134" t="s">
        <v>475</v>
      </c>
      <c r="F32" s="1266"/>
      <c r="G32" s="1134"/>
      <c r="H32" s="1134"/>
      <c r="I32" s="1455">
        <f>SUM(I33:I35)</f>
        <v>1594.853</v>
      </c>
      <c r="J32" s="1351">
        <f>SUM(J33:J35)</f>
        <v>1674.59565</v>
      </c>
      <c r="K32" s="1352">
        <f>SUM(K33:K35)</f>
        <v>1758.3254325</v>
      </c>
    </row>
    <row r="33" spans="1:11" ht="22.5">
      <c r="A33" s="1225" t="s">
        <v>135</v>
      </c>
      <c r="B33" s="1305" t="str">
        <f>'Бюд.р.'!A84</f>
        <v>Фонд оплаты труда и страховые взносы</v>
      </c>
      <c r="C33" s="1211">
        <v>925</v>
      </c>
      <c r="D33" s="1128">
        <v>103</v>
      </c>
      <c r="E33" s="1128" t="str">
        <f>'Бюд.р.'!D84</f>
        <v>002  04 00</v>
      </c>
      <c r="F33" s="1416">
        <f>'Бюд.р.'!F84</f>
        <v>121</v>
      </c>
      <c r="G33" s="1124"/>
      <c r="H33" s="1124"/>
      <c r="I33" s="1459">
        <f>'Бюд.р.'!H84</f>
        <v>674.2189999999999</v>
      </c>
      <c r="J33" s="1353">
        <f>I33*1.05</f>
        <v>707.92995</v>
      </c>
      <c r="K33" s="1354">
        <f>J33*1.05</f>
        <v>743.3264475</v>
      </c>
    </row>
    <row r="34" spans="1:11" ht="22.5">
      <c r="A34" s="1225" t="s">
        <v>926</v>
      </c>
      <c r="B34" s="1200" t="str">
        <f>'Бюд.р.'!A94</f>
        <v>Прочая закупка товаров, работ и услуг для муниципальных нужд</v>
      </c>
      <c r="C34" s="1211">
        <v>925</v>
      </c>
      <c r="D34" s="1128">
        <v>103</v>
      </c>
      <c r="E34" s="1128" t="str">
        <f>'Бюд.р.'!D94</f>
        <v>002 04 00</v>
      </c>
      <c r="F34" s="1416">
        <f>'Бюд.р.'!F94</f>
        <v>244</v>
      </c>
      <c r="G34" s="1124"/>
      <c r="H34" s="1124"/>
      <c r="I34" s="1459">
        <f>'Бюд.р.'!H94</f>
        <v>920.634</v>
      </c>
      <c r="J34" s="1353">
        <f>I34*1.05</f>
        <v>966.6657</v>
      </c>
      <c r="K34" s="1354">
        <f>J34*1.05</f>
        <v>1014.9989850000001</v>
      </c>
    </row>
    <row r="35" spans="1:11" ht="23.25" thickBot="1">
      <c r="A35" s="1225" t="s">
        <v>927</v>
      </c>
      <c r="B35" s="1200" t="s">
        <v>919</v>
      </c>
      <c r="C35" s="1211">
        <v>925</v>
      </c>
      <c r="D35" s="1128">
        <v>103</v>
      </c>
      <c r="E35" s="1128" t="s">
        <v>557</v>
      </c>
      <c r="F35" s="1416">
        <v>850</v>
      </c>
      <c r="G35" s="1124"/>
      <c r="H35" s="1124"/>
      <c r="I35" s="1459">
        <v>0</v>
      </c>
      <c r="J35" s="1357"/>
      <c r="K35" s="1358"/>
    </row>
    <row r="36" spans="1:11" ht="23.25" thickBot="1">
      <c r="A36" s="1226"/>
      <c r="B36" s="1307" t="s">
        <v>458</v>
      </c>
      <c r="C36" s="1227" t="s">
        <v>591</v>
      </c>
      <c r="D36" s="1228"/>
      <c r="E36" s="1228"/>
      <c r="F36" s="1417"/>
      <c r="G36" s="1478"/>
      <c r="H36" s="1478"/>
      <c r="I36" s="1460" t="e">
        <f>I37+I70+I79+I89+I123+I127+I144+I150+I166+I172</f>
        <v>#REF!</v>
      </c>
      <c r="J36" s="1359" t="e">
        <f>J37+J70+J79+J89+J123+J127+J144+J150+J166+J172</f>
        <v>#REF!</v>
      </c>
      <c r="K36" s="1360" t="e">
        <f>K37+K70+K79+K89+K123+K127+K144+K150+K166+K172</f>
        <v>#REF!</v>
      </c>
    </row>
    <row r="37" spans="1:11" ht="23.25" thickBot="1">
      <c r="A37" s="1229" t="s">
        <v>607</v>
      </c>
      <c r="B37" s="1302" t="s">
        <v>102</v>
      </c>
      <c r="C37" s="1230" t="s">
        <v>591</v>
      </c>
      <c r="D37" s="1231" t="s">
        <v>457</v>
      </c>
      <c r="E37" s="1231"/>
      <c r="F37" s="1410"/>
      <c r="G37" s="1477"/>
      <c r="H37" s="1477"/>
      <c r="I37" s="1453" t="e">
        <f>I38+I50+I53</f>
        <v>#REF!</v>
      </c>
      <c r="J37" s="1347" t="e">
        <f>J38+J50+J53</f>
        <v>#REF!</v>
      </c>
      <c r="K37" s="1348" t="e">
        <f>K38+K50+K53</f>
        <v>#REF!</v>
      </c>
    </row>
    <row r="38" spans="1:11" ht="101.25">
      <c r="A38" s="1232" t="s">
        <v>472</v>
      </c>
      <c r="B38" s="1308" t="s">
        <v>854</v>
      </c>
      <c r="C38" s="1233" t="s">
        <v>591</v>
      </c>
      <c r="D38" s="1234" t="s">
        <v>476</v>
      </c>
      <c r="E38" s="1234"/>
      <c r="F38" s="1411"/>
      <c r="G38" s="1237"/>
      <c r="H38" s="1237"/>
      <c r="I38" s="1454">
        <f>I39+I41</f>
        <v>25764.447999999993</v>
      </c>
      <c r="J38" s="1349">
        <f>J39+J41</f>
        <v>27052.090399999997</v>
      </c>
      <c r="K38" s="1350">
        <f>K39+K41</f>
        <v>28404.729919999998</v>
      </c>
    </row>
    <row r="39" spans="1:11" ht="22.5">
      <c r="A39" s="1163" t="s">
        <v>235</v>
      </c>
      <c r="B39" s="1304" t="s">
        <v>87</v>
      </c>
      <c r="C39" s="1131" t="s">
        <v>591</v>
      </c>
      <c r="D39" s="1132" t="s">
        <v>476</v>
      </c>
      <c r="E39" s="1132" t="s">
        <v>477</v>
      </c>
      <c r="F39" s="1412"/>
      <c r="G39" s="1132"/>
      <c r="H39" s="1132"/>
      <c r="I39" s="1455">
        <f>I40</f>
        <v>1301.6730000000002</v>
      </c>
      <c r="J39" s="1351">
        <f>J40</f>
        <v>1366.7566500000003</v>
      </c>
      <c r="K39" s="1352">
        <f>K40</f>
        <v>1435.0944825000004</v>
      </c>
    </row>
    <row r="40" spans="1:11" ht="22.5">
      <c r="A40" s="1162" t="s">
        <v>195</v>
      </c>
      <c r="B40" s="1305" t="str">
        <f>'Бюд.р.'!A160</f>
        <v>Фонд оплаты труда и страховые взносы</v>
      </c>
      <c r="C40" s="1109" t="s">
        <v>591</v>
      </c>
      <c r="D40" s="1110" t="s">
        <v>476</v>
      </c>
      <c r="E40" s="1110" t="s">
        <v>477</v>
      </c>
      <c r="F40" s="1413">
        <f>'Бюд.р.'!F160</f>
        <v>121</v>
      </c>
      <c r="G40" s="1110"/>
      <c r="H40" s="1110"/>
      <c r="I40" s="1458">
        <f>'Бюд.р.'!H160</f>
        <v>1301.6730000000002</v>
      </c>
      <c r="J40" s="1353">
        <f>I40*1.05</f>
        <v>1366.7566500000003</v>
      </c>
      <c r="K40" s="1354">
        <f>J40*1.05</f>
        <v>1435.0944825000004</v>
      </c>
    </row>
    <row r="41" spans="1:11" ht="12.75">
      <c r="A41" s="1163" t="s">
        <v>8</v>
      </c>
      <c r="B41" s="1201" t="s">
        <v>936</v>
      </c>
      <c r="C41" s="1147">
        <v>968</v>
      </c>
      <c r="D41" s="1134">
        <v>104</v>
      </c>
      <c r="E41" s="1134" t="s">
        <v>51</v>
      </c>
      <c r="F41" s="1413"/>
      <c r="G41" s="1110"/>
      <c r="H41" s="1110"/>
      <c r="I41" s="1455">
        <f>I42+I48</f>
        <v>24462.774999999994</v>
      </c>
      <c r="J41" s="1351">
        <f>J42+J48</f>
        <v>25685.333749999998</v>
      </c>
      <c r="K41" s="1352">
        <f>K42+K48</f>
        <v>26969.635437499997</v>
      </c>
    </row>
    <row r="42" spans="1:11" ht="45">
      <c r="A42" s="1163" t="s">
        <v>9</v>
      </c>
      <c r="B42" s="1304" t="s">
        <v>54</v>
      </c>
      <c r="C42" s="1131" t="s">
        <v>591</v>
      </c>
      <c r="D42" s="1132" t="s">
        <v>476</v>
      </c>
      <c r="E42" s="1132" t="s">
        <v>52</v>
      </c>
      <c r="F42" s="1412"/>
      <c r="G42" s="1132"/>
      <c r="H42" s="1132"/>
      <c r="I42" s="1455">
        <f>I43+I44+I47</f>
        <v>24457.174999999996</v>
      </c>
      <c r="J42" s="1351">
        <f>J43+J44+J47</f>
        <v>25680.03375</v>
      </c>
      <c r="K42" s="1352">
        <f>K43+K44+K47</f>
        <v>26964.0354375</v>
      </c>
    </row>
    <row r="43" spans="1:11" ht="22.5">
      <c r="A43" s="1162" t="s">
        <v>32</v>
      </c>
      <c r="B43" s="1305" t="str">
        <f>'Бюд.р.'!A167</f>
        <v>Фонд оплаты труда и страховые взносы</v>
      </c>
      <c r="C43" s="1222">
        <v>968</v>
      </c>
      <c r="D43" s="1223">
        <v>104</v>
      </c>
      <c r="E43" s="1223" t="s">
        <v>52</v>
      </c>
      <c r="F43" s="1415">
        <f>'Бюд.р.'!F167</f>
        <v>121</v>
      </c>
      <c r="G43" s="1223"/>
      <c r="H43" s="1223"/>
      <c r="I43" s="1456">
        <f>'Бюд.р.'!H167</f>
        <v>19466.560999999998</v>
      </c>
      <c r="J43" s="1353">
        <f>I43*1.05</f>
        <v>20439.889049999998</v>
      </c>
      <c r="K43" s="1354">
        <f>J43*1.05</f>
        <v>21461.883502499997</v>
      </c>
    </row>
    <row r="44" spans="1:11" ht="22.5">
      <c r="A44" s="1162" t="s">
        <v>928</v>
      </c>
      <c r="B44" s="1224" t="s">
        <v>920</v>
      </c>
      <c r="C44" s="1222">
        <v>968</v>
      </c>
      <c r="D44" s="1223">
        <v>104</v>
      </c>
      <c r="E44" s="1223" t="s">
        <v>52</v>
      </c>
      <c r="F44" s="1415">
        <v>240</v>
      </c>
      <c r="G44" s="1223"/>
      <c r="H44" s="1223"/>
      <c r="I44" s="1456">
        <f>SUM(I45:I46)</f>
        <v>4975.188999999999</v>
      </c>
      <c r="J44" s="1361">
        <f>SUM(J45:J46)</f>
        <v>5223.94845</v>
      </c>
      <c r="K44" s="1362">
        <f>SUM(K45:K46)</f>
        <v>5485.145872499999</v>
      </c>
    </row>
    <row r="45" spans="1:11" ht="33.75">
      <c r="A45" s="1162" t="s">
        <v>185</v>
      </c>
      <c r="B45" s="1224" t="str">
        <f>'Бюд.р.'!A173</f>
        <v>Закупка товаров, работ, услуг в сфере информационно-коммуникационных технологий</v>
      </c>
      <c r="C45" s="1222">
        <v>968</v>
      </c>
      <c r="D45" s="1223">
        <f>'Бюд.р.'!C173</f>
        <v>104</v>
      </c>
      <c r="E45" s="1223" t="str">
        <f>'Бюд.р.'!D173</f>
        <v>002  06 01</v>
      </c>
      <c r="F45" s="1415">
        <f>'Бюд.р.'!F173</f>
        <v>242</v>
      </c>
      <c r="G45" s="1223"/>
      <c r="H45" s="1223"/>
      <c r="I45" s="1456">
        <f>'Бюд.р.'!H173</f>
        <v>1654.5569999999998</v>
      </c>
      <c r="J45" s="1353">
        <f aca="true" t="shared" si="1" ref="J45:K47">I45*1.05</f>
        <v>1737.2848499999998</v>
      </c>
      <c r="K45" s="1354">
        <f t="shared" si="1"/>
        <v>1824.1490924999998</v>
      </c>
    </row>
    <row r="46" spans="1:11" ht="22.5">
      <c r="A46" s="1162" t="s">
        <v>186</v>
      </c>
      <c r="B46" s="1224" t="str">
        <f>'Бюд.р.'!A182</f>
        <v>Прочая закупка товаров, работ и услуг для муниципальных нужд</v>
      </c>
      <c r="C46" s="1222">
        <v>968</v>
      </c>
      <c r="D46" s="1223">
        <f>'Бюд.р.'!C182</f>
        <v>104</v>
      </c>
      <c r="E46" s="1223" t="str">
        <f>'Бюд.р.'!D182</f>
        <v>002  06 01</v>
      </c>
      <c r="F46" s="1415">
        <f>'Бюд.р.'!F182</f>
        <v>244</v>
      </c>
      <c r="G46" s="1223"/>
      <c r="H46" s="1223"/>
      <c r="I46" s="1456">
        <f>'Бюд.р.'!H182</f>
        <v>3320.6319999999996</v>
      </c>
      <c r="J46" s="1353">
        <f t="shared" si="1"/>
        <v>3486.6636</v>
      </c>
      <c r="K46" s="1354">
        <f t="shared" si="1"/>
        <v>3660.99678</v>
      </c>
    </row>
    <row r="47" spans="1:11" ht="22.5">
      <c r="A47" s="1162" t="s">
        <v>929</v>
      </c>
      <c r="B47" s="1224" t="str">
        <f>'Бюд.р.'!A209</f>
        <v>Уплата налога на имущество организаций и земельного налога</v>
      </c>
      <c r="C47" s="1222">
        <v>968</v>
      </c>
      <c r="D47" s="1223">
        <v>104</v>
      </c>
      <c r="E47" s="1223" t="str">
        <f>'Бюд.р.'!D209</f>
        <v>002  06 01</v>
      </c>
      <c r="F47" s="1415">
        <f>'Бюд.р.'!F209</f>
        <v>851</v>
      </c>
      <c r="G47" s="1223"/>
      <c r="H47" s="1223"/>
      <c r="I47" s="1456">
        <f>'Бюд.р.'!H209</f>
        <v>15.425</v>
      </c>
      <c r="J47" s="1353">
        <f t="shared" si="1"/>
        <v>16.196250000000003</v>
      </c>
      <c r="K47" s="1354">
        <f t="shared" si="1"/>
        <v>17.006062500000002</v>
      </c>
    </row>
    <row r="48" spans="1:11" ht="90">
      <c r="A48" s="1167" t="s">
        <v>31</v>
      </c>
      <c r="B48" s="1199" t="s">
        <v>56</v>
      </c>
      <c r="C48" s="1214">
        <v>968</v>
      </c>
      <c r="D48" s="1215">
        <v>104</v>
      </c>
      <c r="E48" s="1215" t="s">
        <v>57</v>
      </c>
      <c r="F48" s="1418"/>
      <c r="G48" s="1215"/>
      <c r="H48" s="1215"/>
      <c r="I48" s="1461">
        <f>I49</f>
        <v>5.6</v>
      </c>
      <c r="J48" s="1363">
        <f>J49</f>
        <v>5.3</v>
      </c>
      <c r="K48" s="1364">
        <f>K49</f>
        <v>5.6</v>
      </c>
    </row>
    <row r="49" spans="1:11" ht="45">
      <c r="A49" s="1162" t="s">
        <v>33</v>
      </c>
      <c r="B49" s="1200" t="s">
        <v>732</v>
      </c>
      <c r="C49" s="1210">
        <v>968</v>
      </c>
      <c r="D49" s="1124">
        <v>104</v>
      </c>
      <c r="E49" s="1124" t="s">
        <v>57</v>
      </c>
      <c r="F49" s="1269">
        <v>598</v>
      </c>
      <c r="G49" s="1124"/>
      <c r="H49" s="1124"/>
      <c r="I49" s="1458">
        <f>'Бюд.р.'!H217</f>
        <v>5.6</v>
      </c>
      <c r="J49" s="1353">
        <v>5.3</v>
      </c>
      <c r="K49" s="1354">
        <v>5.6</v>
      </c>
    </row>
    <row r="50" spans="1:11" ht="12.75">
      <c r="A50" s="1235" t="s">
        <v>614</v>
      </c>
      <c r="B50" s="1309" t="s">
        <v>24</v>
      </c>
      <c r="C50" s="1236">
        <v>968</v>
      </c>
      <c r="D50" s="1237">
        <v>111</v>
      </c>
      <c r="E50" s="1237"/>
      <c r="F50" s="1414"/>
      <c r="G50" s="1237"/>
      <c r="H50" s="1237"/>
      <c r="I50" s="1457">
        <f aca="true" t="shared" si="2" ref="I50:K51">I51</f>
        <v>2869.841</v>
      </c>
      <c r="J50" s="1355">
        <f t="shared" si="2"/>
        <v>3013.33305</v>
      </c>
      <c r="K50" s="1356">
        <f t="shared" si="2"/>
        <v>3163.9997025000002</v>
      </c>
    </row>
    <row r="51" spans="1:11" ht="22.5">
      <c r="A51" s="1163" t="s">
        <v>615</v>
      </c>
      <c r="B51" s="1201" t="s">
        <v>25</v>
      </c>
      <c r="C51" s="1147">
        <v>968</v>
      </c>
      <c r="D51" s="1134">
        <v>111</v>
      </c>
      <c r="E51" s="1134" t="s">
        <v>26</v>
      </c>
      <c r="F51" s="1266"/>
      <c r="G51" s="1134"/>
      <c r="H51" s="1134"/>
      <c r="I51" s="1461">
        <f t="shared" si="2"/>
        <v>2869.841</v>
      </c>
      <c r="J51" s="1363">
        <f t="shared" si="2"/>
        <v>3013.33305</v>
      </c>
      <c r="K51" s="1364">
        <f t="shared" si="2"/>
        <v>3163.9997025000002</v>
      </c>
    </row>
    <row r="52" spans="1:11" ht="12.75">
      <c r="A52" s="1162" t="s">
        <v>435</v>
      </c>
      <c r="B52" s="1200" t="s">
        <v>921</v>
      </c>
      <c r="C52" s="1210">
        <v>968</v>
      </c>
      <c r="D52" s="1124">
        <v>111</v>
      </c>
      <c r="E52" s="1124" t="s">
        <v>27</v>
      </c>
      <c r="F52" s="1269">
        <v>870</v>
      </c>
      <c r="G52" s="1124"/>
      <c r="H52" s="1124"/>
      <c r="I52" s="1458">
        <f>'Бюд.р.'!H230</f>
        <v>2869.841</v>
      </c>
      <c r="J52" s="1353">
        <f>I52*1.05</f>
        <v>3013.33305</v>
      </c>
      <c r="K52" s="1354">
        <f>J52*1.05</f>
        <v>3163.9997025000002</v>
      </c>
    </row>
    <row r="53" spans="1:11" ht="22.5">
      <c r="A53" s="1235" t="s">
        <v>295</v>
      </c>
      <c r="B53" s="1306" t="s">
        <v>410</v>
      </c>
      <c r="C53" s="1236" t="s">
        <v>591</v>
      </c>
      <c r="D53" s="1237" t="s">
        <v>857</v>
      </c>
      <c r="E53" s="1238"/>
      <c r="F53" s="1419"/>
      <c r="G53" s="1238"/>
      <c r="H53" s="1238"/>
      <c r="I53" s="1457" t="e">
        <f>I54+I56+I58+I60+I62+I64+I66+I68</f>
        <v>#REF!</v>
      </c>
      <c r="J53" s="1355" t="e">
        <f>J54+J56+J58+J60+J62+J64+J66+J68</f>
        <v>#REF!</v>
      </c>
      <c r="K53" s="1356" t="e">
        <f>K54+K56+K58+K60+K62+K64+K66+K68</f>
        <v>#REF!</v>
      </c>
    </row>
    <row r="54" spans="1:11" ht="56.25">
      <c r="A54" s="1163" t="s">
        <v>672</v>
      </c>
      <c r="B54" s="1201" t="s">
        <v>939</v>
      </c>
      <c r="C54" s="1131" t="s">
        <v>591</v>
      </c>
      <c r="D54" s="1132" t="s">
        <v>857</v>
      </c>
      <c r="E54" s="1149" t="str">
        <f>E55</f>
        <v>090 01 00</v>
      </c>
      <c r="F54" s="1412"/>
      <c r="G54" s="1132"/>
      <c r="H54" s="1132"/>
      <c r="I54" s="1455">
        <f>I55</f>
        <v>0</v>
      </c>
      <c r="J54" s="1351">
        <f>J55</f>
        <v>0</v>
      </c>
      <c r="K54" s="1352">
        <f>K55</f>
        <v>0</v>
      </c>
    </row>
    <row r="55" spans="1:11" ht="22.5">
      <c r="A55" s="1162" t="s">
        <v>89</v>
      </c>
      <c r="B55" s="1200" t="str">
        <f>'Бюд.р.'!A236</f>
        <v>Прочая закупка товаров, работ и услуг для муниципальных нужд</v>
      </c>
      <c r="C55" s="1109" t="s">
        <v>591</v>
      </c>
      <c r="D55" s="1110" t="s">
        <v>857</v>
      </c>
      <c r="E55" s="1110" t="s">
        <v>937</v>
      </c>
      <c r="F55" s="1413">
        <f>'Бюд.р.'!F236</f>
        <v>244</v>
      </c>
      <c r="G55" s="1110"/>
      <c r="H55" s="1110"/>
      <c r="I55" s="1456">
        <f>'Бюд.р.'!H236</f>
        <v>0</v>
      </c>
      <c r="J55" s="1353">
        <f>I55*1.05</f>
        <v>0</v>
      </c>
      <c r="K55" s="1354">
        <f>J55*1.05</f>
        <v>0</v>
      </c>
    </row>
    <row r="56" spans="1:11" ht="112.5">
      <c r="A56" s="1163" t="s">
        <v>737</v>
      </c>
      <c r="B56" s="1304" t="s">
        <v>414</v>
      </c>
      <c r="C56" s="1131" t="s">
        <v>591</v>
      </c>
      <c r="D56" s="1132" t="s">
        <v>857</v>
      </c>
      <c r="E56" s="1149" t="s">
        <v>220</v>
      </c>
      <c r="F56" s="1420"/>
      <c r="G56" s="1479"/>
      <c r="H56" s="1479"/>
      <c r="I56" s="1455">
        <f>SUM(I57:I57)</f>
        <v>0</v>
      </c>
      <c r="J56" s="1351">
        <f>SUM(J57:J57)</f>
        <v>0</v>
      </c>
      <c r="K56" s="1352">
        <f>SUM(K57:K57)</f>
        <v>0</v>
      </c>
    </row>
    <row r="57" spans="1:11" ht="22.5">
      <c r="A57" s="1162" t="s">
        <v>473</v>
      </c>
      <c r="B57" s="1305" t="s">
        <v>864</v>
      </c>
      <c r="C57" s="1109" t="s">
        <v>591</v>
      </c>
      <c r="D57" s="1110" t="s">
        <v>857</v>
      </c>
      <c r="E57" s="1110" t="s">
        <v>220</v>
      </c>
      <c r="F57" s="1413" t="s">
        <v>930</v>
      </c>
      <c r="G57" s="1110"/>
      <c r="H57" s="1110"/>
      <c r="I57" s="1456">
        <f>'Бюд.р.'!H244</f>
        <v>0</v>
      </c>
      <c r="J57" s="1353">
        <f>I57*1.05</f>
        <v>0</v>
      </c>
      <c r="K57" s="1354">
        <f>J57*1.05</f>
        <v>0</v>
      </c>
    </row>
    <row r="58" spans="1:11" ht="22.5">
      <c r="A58" s="1163" t="s">
        <v>16</v>
      </c>
      <c r="B58" s="1201" t="s">
        <v>826</v>
      </c>
      <c r="C58" s="1147">
        <v>968</v>
      </c>
      <c r="D58" s="1134">
        <v>113</v>
      </c>
      <c r="E58" s="1134" t="str">
        <f>E59</f>
        <v>092 02 00</v>
      </c>
      <c r="F58" s="1266"/>
      <c r="G58" s="1134"/>
      <c r="H58" s="1134"/>
      <c r="I58" s="1455">
        <f>I59</f>
        <v>120</v>
      </c>
      <c r="J58" s="1351">
        <f>J59</f>
        <v>126</v>
      </c>
      <c r="K58" s="1352">
        <f>K59</f>
        <v>132.3</v>
      </c>
    </row>
    <row r="59" spans="1:11" ht="22.5">
      <c r="A59" s="1162" t="s">
        <v>17</v>
      </c>
      <c r="B59" s="1200" t="str">
        <f>'Бюд.р.'!A249</f>
        <v>Прочая закупка товаров, работ и услуг для муниципальных нужд</v>
      </c>
      <c r="C59" s="1210">
        <v>968</v>
      </c>
      <c r="D59" s="1124">
        <v>113</v>
      </c>
      <c r="E59" s="1124" t="s">
        <v>556</v>
      </c>
      <c r="F59" s="1269">
        <f>'Бюд.р.'!F249</f>
        <v>244</v>
      </c>
      <c r="G59" s="1124"/>
      <c r="H59" s="1124"/>
      <c r="I59" s="1458">
        <f>'Бюд.р.'!H249</f>
        <v>120</v>
      </c>
      <c r="J59" s="1353">
        <f>I59*1.05</f>
        <v>126</v>
      </c>
      <c r="K59" s="1354">
        <f>J59*1.05</f>
        <v>132.3</v>
      </c>
    </row>
    <row r="60" spans="1:11" ht="78.75">
      <c r="A60" s="1163" t="s">
        <v>833</v>
      </c>
      <c r="B60" s="1201" t="s">
        <v>940</v>
      </c>
      <c r="C60" s="1147">
        <v>968</v>
      </c>
      <c r="D60" s="1134">
        <v>113</v>
      </c>
      <c r="E60" s="1134" t="str">
        <f>E61</f>
        <v>092 05 00</v>
      </c>
      <c r="F60" s="1413"/>
      <c r="G60" s="1110"/>
      <c r="H60" s="1110"/>
      <c r="I60" s="1455" t="e">
        <f>I61</f>
        <v>#REF!</v>
      </c>
      <c r="J60" s="1351" t="e">
        <f>J61</f>
        <v>#REF!</v>
      </c>
      <c r="K60" s="1352" t="e">
        <f>K61</f>
        <v>#REF!</v>
      </c>
    </row>
    <row r="61" spans="1:11" ht="12.75">
      <c r="A61" s="1162" t="s">
        <v>834</v>
      </c>
      <c r="B61" s="1200" t="e">
        <f>'Бюд.р.'!#REF!</f>
        <v>#REF!</v>
      </c>
      <c r="C61" s="1109" t="s">
        <v>591</v>
      </c>
      <c r="D61" s="1110" t="s">
        <v>857</v>
      </c>
      <c r="E61" s="1110" t="s">
        <v>470</v>
      </c>
      <c r="F61" s="1413" t="e">
        <f>'Бюд.р.'!#REF!</f>
        <v>#REF!</v>
      </c>
      <c r="G61" s="1110"/>
      <c r="H61" s="1110"/>
      <c r="I61" s="1456" t="e">
        <f>'Бюд.р.'!#REF!</f>
        <v>#REF!</v>
      </c>
      <c r="J61" s="1353" t="e">
        <f>I61*1.05</f>
        <v>#REF!</v>
      </c>
      <c r="K61" s="1354" t="e">
        <f>J61*1.05</f>
        <v>#REF!</v>
      </c>
    </row>
    <row r="62" spans="1:11" ht="112.5">
      <c r="A62" s="1163" t="s">
        <v>835</v>
      </c>
      <c r="B62" s="1201" t="s">
        <v>941</v>
      </c>
      <c r="C62" s="1147">
        <v>968</v>
      </c>
      <c r="D62" s="1134">
        <v>113</v>
      </c>
      <c r="E62" s="1134" t="str">
        <f>E63</f>
        <v>092 06 00</v>
      </c>
      <c r="F62" s="1266"/>
      <c r="G62" s="1134"/>
      <c r="H62" s="1134"/>
      <c r="I62" s="1455">
        <f>I63</f>
        <v>144</v>
      </c>
      <c r="J62" s="1351">
        <f>J63</f>
        <v>151.20000000000002</v>
      </c>
      <c r="K62" s="1352">
        <f>K63</f>
        <v>158.76000000000002</v>
      </c>
    </row>
    <row r="63" spans="1:11" ht="22.5">
      <c r="A63" s="1168" t="s">
        <v>836</v>
      </c>
      <c r="B63" s="1200" t="str">
        <f>'Бюд.р.'!A259</f>
        <v>Прочая закупка товаров, работ и услуг для муниципальных нужд</v>
      </c>
      <c r="C63" s="1211">
        <v>968</v>
      </c>
      <c r="D63" s="1128">
        <v>113</v>
      </c>
      <c r="E63" s="1128" t="s">
        <v>942</v>
      </c>
      <c r="F63" s="1416">
        <f>'Бюд.р.'!F259</f>
        <v>244</v>
      </c>
      <c r="G63" s="1124"/>
      <c r="H63" s="1124"/>
      <c r="I63" s="1459">
        <f>'Бюд.р.'!H259</f>
        <v>144</v>
      </c>
      <c r="J63" s="1353">
        <f>I63*1.05</f>
        <v>151.20000000000002</v>
      </c>
      <c r="K63" s="1354">
        <f>J63*1.05</f>
        <v>158.76000000000002</v>
      </c>
    </row>
    <row r="64" spans="1:11" ht="22.5">
      <c r="A64" s="1163" t="s">
        <v>897</v>
      </c>
      <c r="B64" s="1199" t="str">
        <f>'Бюд.р.'!A262</f>
        <v>РАСХОДЫ НА ПОДДЕРЖАНИЕ САЙТА МО МО ОЗЕРО ДОЛГОЕ</v>
      </c>
      <c r="C64" s="1239">
        <f>'Бюд.р.'!B262</f>
        <v>968</v>
      </c>
      <c r="D64" s="1240">
        <f>'Бюд.р.'!C262</f>
        <v>113</v>
      </c>
      <c r="E64" s="1240" t="str">
        <f>'Бюд.р.'!D262</f>
        <v>092 08 00</v>
      </c>
      <c r="F64" s="1421"/>
      <c r="G64" s="1215"/>
      <c r="H64" s="1215"/>
      <c r="I64" s="1462">
        <f>I65</f>
        <v>0</v>
      </c>
      <c r="J64" s="1365">
        <f>J65</f>
        <v>0</v>
      </c>
      <c r="K64" s="1366">
        <f>K65</f>
        <v>0</v>
      </c>
    </row>
    <row r="65" spans="1:11" ht="33.75">
      <c r="A65" s="1168" t="s">
        <v>898</v>
      </c>
      <c r="B65" s="1200" t="str">
        <f>'Бюд.р.'!A264</f>
        <v>Закупка товаров, работ, услуг в сфере информационно-коммуникационных технологий</v>
      </c>
      <c r="C65" s="1211">
        <v>968</v>
      </c>
      <c r="D65" s="1128">
        <v>113</v>
      </c>
      <c r="E65" s="1128" t="str">
        <f>'Бюд.р.'!D264</f>
        <v>092 08 00</v>
      </c>
      <c r="F65" s="1416">
        <f>'Бюд.р.'!F264</f>
        <v>242</v>
      </c>
      <c r="G65" s="1124"/>
      <c r="H65" s="1124"/>
      <c r="I65" s="1459">
        <f>'Бюд.р.'!H264</f>
        <v>0</v>
      </c>
      <c r="J65" s="1353">
        <f>I65*1.05</f>
        <v>0</v>
      </c>
      <c r="K65" s="1354">
        <f>J65*1.05</f>
        <v>0</v>
      </c>
    </row>
    <row r="66" spans="1:11" ht="12.75">
      <c r="A66" s="1167" t="s">
        <v>1027</v>
      </c>
      <c r="B66" s="1199" t="e">
        <f>'Бюд.р.'!#REF!</f>
        <v>#REF!</v>
      </c>
      <c r="C66" s="1239">
        <v>968</v>
      </c>
      <c r="D66" s="1240">
        <v>113</v>
      </c>
      <c r="E66" s="1240" t="e">
        <f>'Бюд.р.'!#REF!</f>
        <v>#REF!</v>
      </c>
      <c r="F66" s="1421"/>
      <c r="G66" s="1215"/>
      <c r="H66" s="1215"/>
      <c r="I66" s="1462" t="e">
        <f>I67</f>
        <v>#REF!</v>
      </c>
      <c r="J66" s="1365" t="e">
        <f>J67</f>
        <v>#REF!</v>
      </c>
      <c r="K66" s="1366" t="e">
        <f>K67</f>
        <v>#REF!</v>
      </c>
    </row>
    <row r="67" spans="1:11" ht="12.75">
      <c r="A67" s="1162" t="s">
        <v>1028</v>
      </c>
      <c r="B67" s="1200" t="e">
        <f>'Бюд.р.'!#REF!</f>
        <v>#REF!</v>
      </c>
      <c r="C67" s="1211">
        <v>968</v>
      </c>
      <c r="D67" s="1128">
        <v>113</v>
      </c>
      <c r="E67" s="1128" t="e">
        <f>'Бюд.р.'!#REF!</f>
        <v>#REF!</v>
      </c>
      <c r="F67" s="1416" t="e">
        <f>'Бюд.р.'!#REF!</f>
        <v>#REF!</v>
      </c>
      <c r="G67" s="1124"/>
      <c r="H67" s="1124"/>
      <c r="I67" s="1459" t="e">
        <f>'Бюд.р.'!#REF!</f>
        <v>#REF!</v>
      </c>
      <c r="J67" s="1353" t="e">
        <f>I67*1.05</f>
        <v>#REF!</v>
      </c>
      <c r="K67" s="1354" t="e">
        <f>J67*1.05</f>
        <v>#REF!</v>
      </c>
    </row>
    <row r="68" spans="1:11" ht="45">
      <c r="A68" s="1163" t="s">
        <v>1029</v>
      </c>
      <c r="B68" s="1201" t="s">
        <v>947</v>
      </c>
      <c r="C68" s="1147">
        <v>968</v>
      </c>
      <c r="D68" s="1134">
        <v>113</v>
      </c>
      <c r="E68" s="1134" t="str">
        <f>E69</f>
        <v>795 02 00</v>
      </c>
      <c r="F68" s="1415"/>
      <c r="G68" s="1223"/>
      <c r="H68" s="1223"/>
      <c r="I68" s="1455">
        <f>I69</f>
        <v>80.642</v>
      </c>
      <c r="J68" s="1351">
        <f>J69</f>
        <v>84.6741</v>
      </c>
      <c r="K68" s="1352">
        <f>K69</f>
        <v>88.907805</v>
      </c>
    </row>
    <row r="69" spans="1:11" ht="23.25" thickBot="1">
      <c r="A69" s="1162" t="s">
        <v>1030</v>
      </c>
      <c r="B69" s="1200" t="str">
        <f>'Бюд.р.'!A275</f>
        <v>Прочая закупка товаров, работ и услуг для муниципальных нужд</v>
      </c>
      <c r="C69" s="1210">
        <v>968</v>
      </c>
      <c r="D69" s="1124">
        <v>113</v>
      </c>
      <c r="E69" s="1124" t="s">
        <v>945</v>
      </c>
      <c r="F69" s="1269">
        <f>'Бюд.р.'!F275</f>
        <v>244</v>
      </c>
      <c r="G69" s="1124"/>
      <c r="H69" s="1124"/>
      <c r="I69" s="1458">
        <f>'Бюд.р.'!H275</f>
        <v>80.642</v>
      </c>
      <c r="J69" s="1353">
        <f>I69*1.05</f>
        <v>84.6741</v>
      </c>
      <c r="K69" s="1354">
        <f>J69*1.05</f>
        <v>88.907805</v>
      </c>
    </row>
    <row r="70" spans="1:11" ht="45.75" thickBot="1">
      <c r="A70" s="1229" t="s">
        <v>608</v>
      </c>
      <c r="B70" s="1302" t="s">
        <v>227</v>
      </c>
      <c r="C70" s="1230" t="s">
        <v>591</v>
      </c>
      <c r="D70" s="1231" t="s">
        <v>469</v>
      </c>
      <c r="E70" s="1231"/>
      <c r="F70" s="1422"/>
      <c r="G70" s="1480"/>
      <c r="H70" s="1480"/>
      <c r="I70" s="1463" t="e">
        <f>I71</f>
        <v>#REF!</v>
      </c>
      <c r="J70" s="1367" t="e">
        <f>J71</f>
        <v>#REF!</v>
      </c>
      <c r="K70" s="1368" t="e">
        <f>K71</f>
        <v>#REF!</v>
      </c>
    </row>
    <row r="71" spans="1:11" ht="45">
      <c r="A71" s="1232" t="s">
        <v>296</v>
      </c>
      <c r="B71" s="1303" t="s">
        <v>856</v>
      </c>
      <c r="C71" s="1233" t="s">
        <v>591</v>
      </c>
      <c r="D71" s="1234" t="s">
        <v>408</v>
      </c>
      <c r="E71" s="1241"/>
      <c r="F71" s="1423"/>
      <c r="G71" s="1481"/>
      <c r="H71" s="1481"/>
      <c r="I71" s="1454" t="e">
        <f>I72+I77</f>
        <v>#REF!</v>
      </c>
      <c r="J71" s="1349" t="e">
        <f>J72+J77</f>
        <v>#REF!</v>
      </c>
      <c r="K71" s="1350" t="e">
        <f>K72+K77</f>
        <v>#REF!</v>
      </c>
    </row>
    <row r="72" spans="1:11" ht="22.5">
      <c r="A72" s="1163" t="s">
        <v>673</v>
      </c>
      <c r="B72" s="1201" t="s">
        <v>965</v>
      </c>
      <c r="C72" s="1131" t="s">
        <v>591</v>
      </c>
      <c r="D72" s="1132" t="s">
        <v>408</v>
      </c>
      <c r="E72" s="1132" t="s">
        <v>677</v>
      </c>
      <c r="F72" s="1412"/>
      <c r="G72" s="1132"/>
      <c r="H72" s="1132"/>
      <c r="I72" s="1455" t="e">
        <f>I73+I75</f>
        <v>#REF!</v>
      </c>
      <c r="J72" s="1351" t="e">
        <f>J73+J75</f>
        <v>#REF!</v>
      </c>
      <c r="K72" s="1352" t="e">
        <f>K73+K75</f>
        <v>#REF!</v>
      </c>
    </row>
    <row r="73" spans="1:11" ht="56.25">
      <c r="A73" s="1186" t="s">
        <v>90</v>
      </c>
      <c r="B73" s="1201" t="s">
        <v>953</v>
      </c>
      <c r="C73" s="1147">
        <v>968</v>
      </c>
      <c r="D73" s="1134">
        <v>309</v>
      </c>
      <c r="E73" s="1134" t="str">
        <f>E74</f>
        <v>219 01 00</v>
      </c>
      <c r="F73" s="1412"/>
      <c r="G73" s="1132"/>
      <c r="H73" s="1132"/>
      <c r="I73" s="1455" t="e">
        <f>I74</f>
        <v>#REF!</v>
      </c>
      <c r="J73" s="1351" t="e">
        <f>J74</f>
        <v>#REF!</v>
      </c>
      <c r="K73" s="1352" t="e">
        <f>K74</f>
        <v>#REF!</v>
      </c>
    </row>
    <row r="74" spans="1:11" ht="12.75">
      <c r="A74" s="1162" t="s">
        <v>137</v>
      </c>
      <c r="B74" s="1200" t="e">
        <f>'Бюд.р.'!#REF!</f>
        <v>#REF!</v>
      </c>
      <c r="C74" s="1210">
        <v>968</v>
      </c>
      <c r="D74" s="1124">
        <v>309</v>
      </c>
      <c r="E74" s="1124" t="s">
        <v>954</v>
      </c>
      <c r="F74" s="1424" t="e">
        <f>'Бюд.р.'!#REF!</f>
        <v>#REF!</v>
      </c>
      <c r="G74" s="1482"/>
      <c r="H74" s="1482"/>
      <c r="I74" s="1458" t="e">
        <f>'Бюд.р.'!#REF!</f>
        <v>#REF!</v>
      </c>
      <c r="J74" s="1353" t="e">
        <f>I74*1.05</f>
        <v>#REF!</v>
      </c>
      <c r="K74" s="1354" t="e">
        <f>J74*1.05</f>
        <v>#REF!</v>
      </c>
    </row>
    <row r="75" spans="1:11" ht="101.25">
      <c r="A75" s="1163" t="s">
        <v>200</v>
      </c>
      <c r="B75" s="1310" t="s">
        <v>951</v>
      </c>
      <c r="C75" s="1212">
        <v>968</v>
      </c>
      <c r="D75" s="1187">
        <v>309</v>
      </c>
      <c r="E75" s="1187" t="str">
        <f>E76</f>
        <v>219 03 00</v>
      </c>
      <c r="F75" s="1425"/>
      <c r="G75" s="1134"/>
      <c r="H75" s="1134"/>
      <c r="I75" s="1464">
        <f>I76</f>
        <v>141.993</v>
      </c>
      <c r="J75" s="1369">
        <f>J76</f>
        <v>149.09265</v>
      </c>
      <c r="K75" s="1370">
        <f>K76</f>
        <v>156.5472825</v>
      </c>
    </row>
    <row r="76" spans="1:11" ht="22.5">
      <c r="A76" s="1162" t="s">
        <v>138</v>
      </c>
      <c r="B76" s="1200" t="str">
        <f>'Бюд.р.'!A290</f>
        <v>Прочая закупка товаров, работ и услуг для муниципальных нужд</v>
      </c>
      <c r="C76" s="1210">
        <v>968</v>
      </c>
      <c r="D76" s="1124">
        <v>309</v>
      </c>
      <c r="E76" s="1124" t="s">
        <v>952</v>
      </c>
      <c r="F76" s="1269">
        <f>'Бюд.р.'!F290</f>
        <v>244</v>
      </c>
      <c r="G76" s="1124"/>
      <c r="H76" s="1124"/>
      <c r="I76" s="1458">
        <f>'Бюд.р.'!H290</f>
        <v>141.993</v>
      </c>
      <c r="J76" s="1353">
        <f>I76*1.05</f>
        <v>149.09265</v>
      </c>
      <c r="K76" s="1354">
        <f>J76*1.05</f>
        <v>156.5472825</v>
      </c>
    </row>
    <row r="77" spans="1:11" ht="78.75">
      <c r="A77" s="1163" t="s">
        <v>738</v>
      </c>
      <c r="B77" s="1201" t="s">
        <v>949</v>
      </c>
      <c r="C77" s="1147">
        <v>968</v>
      </c>
      <c r="D77" s="1134">
        <v>309</v>
      </c>
      <c r="E77" s="1134" t="str">
        <f>E78</f>
        <v>795 05 00</v>
      </c>
      <c r="F77" s="1412"/>
      <c r="G77" s="1132"/>
      <c r="H77" s="1132"/>
      <c r="I77" s="1455">
        <f>I78</f>
        <v>85.642</v>
      </c>
      <c r="J77" s="1351">
        <f>J78</f>
        <v>89.9241</v>
      </c>
      <c r="K77" s="1352">
        <f>K78</f>
        <v>94.420305</v>
      </c>
    </row>
    <row r="78" spans="1:11" ht="23.25" thickBot="1">
      <c r="A78" s="1168" t="s">
        <v>10</v>
      </c>
      <c r="B78" s="1200" t="str">
        <f>'Бюд.р.'!A311</f>
        <v>Прочая закупка товаров, работ и услуг для муниципальных нужд</v>
      </c>
      <c r="C78" s="1141" t="s">
        <v>591</v>
      </c>
      <c r="D78" s="1142" t="s">
        <v>408</v>
      </c>
      <c r="E78" s="1142" t="s">
        <v>15</v>
      </c>
      <c r="F78" s="1426">
        <f>'Бюд.р.'!F311</f>
        <v>244</v>
      </c>
      <c r="G78" s="1110"/>
      <c r="H78" s="1110"/>
      <c r="I78" s="1465">
        <f>'Бюд.р.'!H311</f>
        <v>85.642</v>
      </c>
      <c r="J78" s="1353">
        <f>I78*1.05</f>
        <v>89.9241</v>
      </c>
      <c r="K78" s="1354">
        <f>J78*1.05</f>
        <v>94.420305</v>
      </c>
    </row>
    <row r="79" spans="1:11" ht="13.5" thickBot="1">
      <c r="A79" s="1229" t="s">
        <v>609</v>
      </c>
      <c r="B79" s="1302" t="s">
        <v>817</v>
      </c>
      <c r="C79" s="1230" t="s">
        <v>591</v>
      </c>
      <c r="D79" s="1231" t="s">
        <v>829</v>
      </c>
      <c r="E79" s="1231"/>
      <c r="F79" s="1422"/>
      <c r="G79" s="1480"/>
      <c r="H79" s="1480"/>
      <c r="I79" s="1453">
        <f>I80++I83+I86</f>
        <v>172.414</v>
      </c>
      <c r="J79" s="1347">
        <f>J80++J83+J86</f>
        <v>181.0347</v>
      </c>
      <c r="K79" s="1348">
        <f>K80++K83+K86</f>
        <v>190.086435</v>
      </c>
    </row>
    <row r="80" spans="1:11" ht="12.75">
      <c r="A80" s="1232" t="s">
        <v>297</v>
      </c>
      <c r="B80" s="1242" t="s">
        <v>866</v>
      </c>
      <c r="C80" s="1233">
        <v>968</v>
      </c>
      <c r="D80" s="1234">
        <v>401</v>
      </c>
      <c r="E80" s="1234"/>
      <c r="F80" s="1411"/>
      <c r="G80" s="1237"/>
      <c r="H80" s="1237"/>
      <c r="I80" s="1454">
        <f aca="true" t="shared" si="3" ref="I80:K81">I81</f>
        <v>152.414</v>
      </c>
      <c r="J80" s="1349">
        <f t="shared" si="3"/>
        <v>160.0347</v>
      </c>
      <c r="K80" s="1350">
        <f t="shared" si="3"/>
        <v>168.03643499999998</v>
      </c>
    </row>
    <row r="81" spans="1:11" ht="45">
      <c r="A81" s="1163" t="s">
        <v>98</v>
      </c>
      <c r="B81" s="1201" t="s">
        <v>944</v>
      </c>
      <c r="C81" s="1147">
        <v>968</v>
      </c>
      <c r="D81" s="1134">
        <v>401</v>
      </c>
      <c r="E81" s="1134" t="s">
        <v>867</v>
      </c>
      <c r="F81" s="1266"/>
      <c r="G81" s="1134"/>
      <c r="H81" s="1134"/>
      <c r="I81" s="1455">
        <f t="shared" si="3"/>
        <v>152.414</v>
      </c>
      <c r="J81" s="1351">
        <f t="shared" si="3"/>
        <v>160.0347</v>
      </c>
      <c r="K81" s="1352">
        <f t="shared" si="3"/>
        <v>168.03643499999998</v>
      </c>
    </row>
    <row r="82" spans="1:11" ht="67.5">
      <c r="A82" s="1169" t="s">
        <v>1033</v>
      </c>
      <c r="B82" s="1200" t="s">
        <v>922</v>
      </c>
      <c r="C82" s="1210">
        <v>968</v>
      </c>
      <c r="D82" s="1124">
        <v>401</v>
      </c>
      <c r="E82" s="1124" t="s">
        <v>867</v>
      </c>
      <c r="F82" s="1269">
        <v>810</v>
      </c>
      <c r="G82" s="1124"/>
      <c r="H82" s="1124"/>
      <c r="I82" s="1458">
        <f>'Бюд.р.'!H319</f>
        <v>152.414</v>
      </c>
      <c r="J82" s="1353">
        <f>I82*1.05</f>
        <v>160.0347</v>
      </c>
      <c r="K82" s="1354">
        <f>J82*1.05</f>
        <v>168.03643499999998</v>
      </c>
    </row>
    <row r="83" spans="1:11" ht="12.75">
      <c r="A83" s="1232" t="s">
        <v>740</v>
      </c>
      <c r="B83" s="1242" t="s">
        <v>988</v>
      </c>
      <c r="C83" s="1233">
        <v>968</v>
      </c>
      <c r="D83" s="1234">
        <v>410</v>
      </c>
      <c r="E83" s="1234"/>
      <c r="F83" s="1411"/>
      <c r="G83" s="1237"/>
      <c r="H83" s="1237"/>
      <c r="I83" s="1454">
        <f>I84</f>
        <v>0</v>
      </c>
      <c r="J83" s="1357"/>
      <c r="K83" s="1358"/>
    </row>
    <row r="84" spans="1:11" ht="22.5">
      <c r="A84" s="1163" t="s">
        <v>91</v>
      </c>
      <c r="B84" s="1201" t="s">
        <v>990</v>
      </c>
      <c r="C84" s="1147">
        <v>968</v>
      </c>
      <c r="D84" s="1134">
        <v>410</v>
      </c>
      <c r="E84" s="1134" t="s">
        <v>987</v>
      </c>
      <c r="F84" s="1266"/>
      <c r="G84" s="1134"/>
      <c r="H84" s="1134"/>
      <c r="I84" s="1455">
        <f>I85</f>
        <v>0</v>
      </c>
      <c r="J84" s="1357"/>
      <c r="K84" s="1358"/>
    </row>
    <row r="85" spans="1:11" ht="22.5">
      <c r="A85" s="1169" t="s">
        <v>868</v>
      </c>
      <c r="B85" s="1200" t="s">
        <v>920</v>
      </c>
      <c r="C85" s="1210">
        <v>968</v>
      </c>
      <c r="D85" s="1124">
        <v>410</v>
      </c>
      <c r="E85" s="1124" t="s">
        <v>987</v>
      </c>
      <c r="F85" s="1269">
        <v>240</v>
      </c>
      <c r="G85" s="1124"/>
      <c r="H85" s="1124"/>
      <c r="I85" s="1458">
        <f>'Бюд.р.'!G319</f>
        <v>0</v>
      </c>
      <c r="J85" s="1357"/>
      <c r="K85" s="1358"/>
    </row>
    <row r="86" spans="1:11" ht="22.5">
      <c r="A86" s="1232">
        <v>8</v>
      </c>
      <c r="B86" s="1308" t="s">
        <v>818</v>
      </c>
      <c r="C86" s="1233" t="s">
        <v>591</v>
      </c>
      <c r="D86" s="1234" t="s">
        <v>828</v>
      </c>
      <c r="E86" s="1234"/>
      <c r="F86" s="1411"/>
      <c r="G86" s="1237"/>
      <c r="H86" s="1237"/>
      <c r="I86" s="1454">
        <f aca="true" t="shared" si="4" ref="I86:K87">I87</f>
        <v>20</v>
      </c>
      <c r="J86" s="1349">
        <f t="shared" si="4"/>
        <v>21</v>
      </c>
      <c r="K86" s="1350">
        <f t="shared" si="4"/>
        <v>22.05</v>
      </c>
    </row>
    <row r="87" spans="1:11" ht="45">
      <c r="A87" s="1163" t="s">
        <v>91</v>
      </c>
      <c r="B87" s="1201" t="s">
        <v>820</v>
      </c>
      <c r="C87" s="1147">
        <v>968</v>
      </c>
      <c r="D87" s="1134">
        <v>412</v>
      </c>
      <c r="E87" s="1134" t="s">
        <v>819</v>
      </c>
      <c r="F87" s="1266"/>
      <c r="G87" s="1134"/>
      <c r="H87" s="1134"/>
      <c r="I87" s="1455">
        <f t="shared" si="4"/>
        <v>20</v>
      </c>
      <c r="J87" s="1351">
        <f t="shared" si="4"/>
        <v>21</v>
      </c>
      <c r="K87" s="1352">
        <f t="shared" si="4"/>
        <v>22.05</v>
      </c>
    </row>
    <row r="88" spans="1:11" ht="23.25" thickBot="1">
      <c r="A88" s="1168" t="s">
        <v>1034</v>
      </c>
      <c r="B88" s="1200" t="str">
        <f>'Бюд.р.'!A330</f>
        <v>Прочая закупка товаров, работ и услуг для муниципальных нужд</v>
      </c>
      <c r="C88" s="1211">
        <v>968</v>
      </c>
      <c r="D88" s="1128">
        <v>412</v>
      </c>
      <c r="E88" s="1128" t="s">
        <v>819</v>
      </c>
      <c r="F88" s="1416">
        <f>'Бюд.р.'!F330</f>
        <v>244</v>
      </c>
      <c r="G88" s="1124"/>
      <c r="H88" s="1124"/>
      <c r="I88" s="1459">
        <f>'Бюд.р.'!H330</f>
        <v>20</v>
      </c>
      <c r="J88" s="1353">
        <f>I88*1.05</f>
        <v>21</v>
      </c>
      <c r="K88" s="1354">
        <f>J88*1.05</f>
        <v>22.05</v>
      </c>
    </row>
    <row r="89" spans="1:11" ht="23.25" thickBot="1">
      <c r="A89" s="1229" t="s">
        <v>610</v>
      </c>
      <c r="B89" s="1302" t="s">
        <v>229</v>
      </c>
      <c r="C89" s="1230" t="s">
        <v>591</v>
      </c>
      <c r="D89" s="1231" t="s">
        <v>394</v>
      </c>
      <c r="E89" s="1231"/>
      <c r="F89" s="1410"/>
      <c r="G89" s="1477"/>
      <c r="H89" s="1477"/>
      <c r="I89" s="1453">
        <f>I90</f>
        <v>50635.210999999996</v>
      </c>
      <c r="J89" s="1347">
        <f>J90</f>
        <v>53166.97155</v>
      </c>
      <c r="K89" s="1348">
        <f>K90</f>
        <v>55825.3201275</v>
      </c>
    </row>
    <row r="90" spans="1:11" ht="12.75">
      <c r="A90" s="1232" t="s">
        <v>371</v>
      </c>
      <c r="B90" s="1303" t="s">
        <v>395</v>
      </c>
      <c r="C90" s="1233" t="s">
        <v>591</v>
      </c>
      <c r="D90" s="1234" t="s">
        <v>396</v>
      </c>
      <c r="E90" s="1234"/>
      <c r="F90" s="1411"/>
      <c r="G90" s="1237"/>
      <c r="H90" s="1237"/>
      <c r="I90" s="1454">
        <f>I91+I100+I107+I116</f>
        <v>50635.210999999996</v>
      </c>
      <c r="J90" s="1349">
        <f>J91+J100+J107+J116</f>
        <v>53166.97155</v>
      </c>
      <c r="K90" s="1350">
        <f>K91+K100+K107+K116</f>
        <v>55825.3201275</v>
      </c>
    </row>
    <row r="91" spans="1:11" ht="33.75">
      <c r="A91" s="1216" t="s">
        <v>92</v>
      </c>
      <c r="B91" s="1311" t="s">
        <v>966</v>
      </c>
      <c r="C91" s="1145" t="s">
        <v>591</v>
      </c>
      <c r="D91" s="1146" t="s">
        <v>396</v>
      </c>
      <c r="E91" s="1146" t="s">
        <v>397</v>
      </c>
      <c r="F91" s="1427"/>
      <c r="G91" s="1146"/>
      <c r="H91" s="1146"/>
      <c r="I91" s="1466">
        <f>I92+I94+I96+I98</f>
        <v>36648.477</v>
      </c>
      <c r="J91" s="1371">
        <f>J92+J94+J96+J98</f>
        <v>38480.90085</v>
      </c>
      <c r="K91" s="1372">
        <f>K92+K94+K96+K98</f>
        <v>40404.9458925</v>
      </c>
    </row>
    <row r="92" spans="1:11" ht="67.5">
      <c r="A92" s="1163" t="s">
        <v>93</v>
      </c>
      <c r="B92" s="1312" t="str">
        <f>'Бюд.р.'!A336</f>
        <v>ТЕКУЩИЙ РЕМОНТ ПРИДОМОВЫХ ТЕРРИТОРИЙ И ДВОРОВЫХ ТЕРРИТОРИЙ , ВКЛЮЧАЯ ПРОЕЗДЫ И ВЪЕЗДЫ,ПЕШЕХОДНЫЕ ДОРОЖКИ</v>
      </c>
      <c r="C92" s="1131" t="s">
        <v>591</v>
      </c>
      <c r="D92" s="1132" t="s">
        <v>396</v>
      </c>
      <c r="E92" s="1132" t="s">
        <v>399</v>
      </c>
      <c r="F92" s="1412"/>
      <c r="G92" s="1132"/>
      <c r="H92" s="1132"/>
      <c r="I92" s="1455">
        <f>SUM(I93:I93)</f>
        <v>32325.856</v>
      </c>
      <c r="J92" s="1351">
        <f>SUM(J93:J93)</f>
        <v>33942.1488</v>
      </c>
      <c r="K92" s="1352">
        <f>SUM(K93:K93)</f>
        <v>35639.25624</v>
      </c>
    </row>
    <row r="93" spans="1:11" ht="22.5">
      <c r="A93" s="1162" t="s">
        <v>869</v>
      </c>
      <c r="B93" s="1200" t="str">
        <f>'Бюд.р.'!A338</f>
        <v>Прочая закупка товаров, работ и услуг для муниципальных нужд</v>
      </c>
      <c r="C93" s="1109" t="s">
        <v>591</v>
      </c>
      <c r="D93" s="1110" t="s">
        <v>396</v>
      </c>
      <c r="E93" s="1110" t="s">
        <v>399</v>
      </c>
      <c r="F93" s="1413">
        <f>'Бюд.р.'!F338</f>
        <v>244</v>
      </c>
      <c r="G93" s="1110"/>
      <c r="H93" s="1110"/>
      <c r="I93" s="1456">
        <f>'Бюд.р.'!H338</f>
        <v>32325.856</v>
      </c>
      <c r="J93" s="1353">
        <f>I93*1.05</f>
        <v>33942.1488</v>
      </c>
      <c r="K93" s="1354">
        <f>J93*1.05</f>
        <v>35639.25624</v>
      </c>
    </row>
    <row r="94" spans="1:11" ht="45">
      <c r="A94" s="1163" t="s">
        <v>870</v>
      </c>
      <c r="B94" s="1312" t="s">
        <v>967</v>
      </c>
      <c r="C94" s="1131" t="s">
        <v>591</v>
      </c>
      <c r="D94" s="1132" t="s">
        <v>396</v>
      </c>
      <c r="E94" s="1132" t="s">
        <v>400</v>
      </c>
      <c r="F94" s="1412"/>
      <c r="G94" s="1132"/>
      <c r="H94" s="1132"/>
      <c r="I94" s="1455">
        <f>I95</f>
        <v>369.69800000000004</v>
      </c>
      <c r="J94" s="1351">
        <f>J95</f>
        <v>388.1829000000001</v>
      </c>
      <c r="K94" s="1352">
        <f>K95</f>
        <v>407.5920450000001</v>
      </c>
    </row>
    <row r="95" spans="1:11" ht="22.5">
      <c r="A95" s="1162" t="s">
        <v>871</v>
      </c>
      <c r="B95" s="1200" t="str">
        <f>'Бюд.р.'!A348</f>
        <v>Прочая закупка товаров, работ и услуг для муниципальных нужд</v>
      </c>
      <c r="C95" s="1109" t="s">
        <v>591</v>
      </c>
      <c r="D95" s="1110" t="s">
        <v>396</v>
      </c>
      <c r="E95" s="1110" t="s">
        <v>400</v>
      </c>
      <c r="F95" s="1413">
        <f>'Бюд.р.'!F348</f>
        <v>244</v>
      </c>
      <c r="G95" s="1110"/>
      <c r="H95" s="1110"/>
      <c r="I95" s="1456">
        <f>'Бюд.р.'!H348</f>
        <v>369.69800000000004</v>
      </c>
      <c r="J95" s="1353">
        <f>I95*1.05</f>
        <v>388.1829000000001</v>
      </c>
      <c r="K95" s="1354">
        <f>J95*1.05</f>
        <v>407.5920450000001</v>
      </c>
    </row>
    <row r="96" spans="1:11" ht="22.5">
      <c r="A96" s="1163" t="s">
        <v>872</v>
      </c>
      <c r="B96" s="1304" t="s">
        <v>29</v>
      </c>
      <c r="C96" s="1131" t="s">
        <v>591</v>
      </c>
      <c r="D96" s="1132" t="s">
        <v>396</v>
      </c>
      <c r="E96" s="1132" t="s">
        <v>401</v>
      </c>
      <c r="F96" s="1412"/>
      <c r="G96" s="1132"/>
      <c r="H96" s="1132"/>
      <c r="I96" s="1455">
        <f>SUM(I97:I97)</f>
        <v>2318.251</v>
      </c>
      <c r="J96" s="1351">
        <f>SUM(J97:J97)</f>
        <v>2434.16355</v>
      </c>
      <c r="K96" s="1352">
        <f>SUM(K97:K97)</f>
        <v>2555.8717275000004</v>
      </c>
    </row>
    <row r="97" spans="1:11" ht="22.5">
      <c r="A97" s="1162" t="s">
        <v>873</v>
      </c>
      <c r="B97" s="1200" t="str">
        <f>'Бюд.р.'!A353</f>
        <v>Прочая закупка товаров, работ и услуг для муниципальных нужд</v>
      </c>
      <c r="C97" s="1109" t="s">
        <v>591</v>
      </c>
      <c r="D97" s="1110" t="s">
        <v>396</v>
      </c>
      <c r="E97" s="1110" t="s">
        <v>401</v>
      </c>
      <c r="F97" s="1413">
        <f>'Бюд.р.'!F353</f>
        <v>244</v>
      </c>
      <c r="G97" s="1110"/>
      <c r="H97" s="1110"/>
      <c r="I97" s="1456">
        <f>'Бюд.р.'!H353</f>
        <v>2318.251</v>
      </c>
      <c r="J97" s="1353">
        <f>I97*1.05</f>
        <v>2434.16355</v>
      </c>
      <c r="K97" s="1354">
        <f>J97*1.05</f>
        <v>2555.8717275000004</v>
      </c>
    </row>
    <row r="98" spans="1:11" ht="90">
      <c r="A98" s="1163" t="s">
        <v>968</v>
      </c>
      <c r="B98" s="1304" t="s">
        <v>841</v>
      </c>
      <c r="C98" s="1131" t="s">
        <v>591</v>
      </c>
      <c r="D98" s="1132" t="s">
        <v>396</v>
      </c>
      <c r="E98" s="1132" t="s">
        <v>403</v>
      </c>
      <c r="F98" s="1412"/>
      <c r="G98" s="1132"/>
      <c r="H98" s="1132"/>
      <c r="I98" s="1455">
        <f>I99</f>
        <v>1634.6719999999998</v>
      </c>
      <c r="J98" s="1351">
        <f>J99</f>
        <v>1716.4055999999998</v>
      </c>
      <c r="K98" s="1352">
        <f>K99</f>
        <v>1802.22588</v>
      </c>
    </row>
    <row r="99" spans="1:11" ht="22.5">
      <c r="A99" s="1162" t="s">
        <v>969</v>
      </c>
      <c r="B99" s="1200" t="str">
        <f>'Бюд.р.'!A364</f>
        <v>Прочая закупка товаров, работ и услуг для муниципальных нужд</v>
      </c>
      <c r="C99" s="1109" t="s">
        <v>591</v>
      </c>
      <c r="D99" s="1110" t="s">
        <v>396</v>
      </c>
      <c r="E99" s="1110" t="s">
        <v>403</v>
      </c>
      <c r="F99" s="1413">
        <f>'Бюд.р.'!F364</f>
        <v>244</v>
      </c>
      <c r="G99" s="1110"/>
      <c r="H99" s="1110"/>
      <c r="I99" s="1456">
        <f>'Бюд.р.'!H364</f>
        <v>1634.6719999999998</v>
      </c>
      <c r="J99" s="1353">
        <f>I99*1.05</f>
        <v>1716.4055999999998</v>
      </c>
      <c r="K99" s="1354">
        <f>J99*1.05</f>
        <v>1802.22588</v>
      </c>
    </row>
    <row r="100" spans="1:11" ht="45">
      <c r="A100" s="1217" t="s">
        <v>874</v>
      </c>
      <c r="B100" s="1311" t="s">
        <v>955</v>
      </c>
      <c r="C100" s="1145" t="s">
        <v>591</v>
      </c>
      <c r="D100" s="1146" t="s">
        <v>396</v>
      </c>
      <c r="E100" s="1146" t="s">
        <v>407</v>
      </c>
      <c r="F100" s="1428"/>
      <c r="G100" s="1483"/>
      <c r="H100" s="1483"/>
      <c r="I100" s="1466">
        <f>I101+I103+I105</f>
        <v>198.17000000000002</v>
      </c>
      <c r="J100" s="1371">
        <f>J101+J103+J105</f>
        <v>208.07850000000002</v>
      </c>
      <c r="K100" s="1372">
        <f>K101+K103+K105</f>
        <v>218.48242500000003</v>
      </c>
    </row>
    <row r="101" spans="1:11" ht="33.75">
      <c r="A101" s="1163" t="s">
        <v>875</v>
      </c>
      <c r="B101" s="1304" t="s">
        <v>463</v>
      </c>
      <c r="C101" s="1131" t="s">
        <v>591</v>
      </c>
      <c r="D101" s="1132" t="s">
        <v>396</v>
      </c>
      <c r="E101" s="1132" t="s">
        <v>464</v>
      </c>
      <c r="F101" s="1412"/>
      <c r="G101" s="1132"/>
      <c r="H101" s="1132"/>
      <c r="I101" s="1455">
        <f>I102</f>
        <v>0</v>
      </c>
      <c r="J101" s="1351">
        <f>J102</f>
        <v>0</v>
      </c>
      <c r="K101" s="1352">
        <f>K102</f>
        <v>0</v>
      </c>
    </row>
    <row r="102" spans="1:11" ht="22.5">
      <c r="A102" s="1170" t="s">
        <v>876</v>
      </c>
      <c r="B102" s="1200" t="str">
        <f>'Бюд.р.'!A373</f>
        <v>Прочая закупка товаров, работ и услуг для муниципальных нужд</v>
      </c>
      <c r="C102" s="1109" t="s">
        <v>591</v>
      </c>
      <c r="D102" s="1110" t="s">
        <v>396</v>
      </c>
      <c r="E102" s="1110" t="s">
        <v>464</v>
      </c>
      <c r="F102" s="1413">
        <f>'Бюд.р.'!F373</f>
        <v>244</v>
      </c>
      <c r="G102" s="1110"/>
      <c r="H102" s="1110"/>
      <c r="I102" s="1456">
        <f>'Бюд.р.'!H373</f>
        <v>0</v>
      </c>
      <c r="J102" s="1353">
        <f>I102*1.05</f>
        <v>0</v>
      </c>
      <c r="K102" s="1354">
        <f>J102*1.05</f>
        <v>0</v>
      </c>
    </row>
    <row r="103" spans="1:11" ht="45">
      <c r="A103" s="1163" t="s">
        <v>877</v>
      </c>
      <c r="B103" s="1312" t="s">
        <v>465</v>
      </c>
      <c r="C103" s="1131" t="s">
        <v>591</v>
      </c>
      <c r="D103" s="1132" t="s">
        <v>396</v>
      </c>
      <c r="E103" s="1132" t="s">
        <v>376</v>
      </c>
      <c r="F103" s="1412"/>
      <c r="G103" s="1132"/>
      <c r="H103" s="1132"/>
      <c r="I103" s="1455">
        <f>I104</f>
        <v>0</v>
      </c>
      <c r="J103" s="1351">
        <f>J104</f>
        <v>0</v>
      </c>
      <c r="K103" s="1352">
        <f>K104</f>
        <v>0</v>
      </c>
    </row>
    <row r="104" spans="1:11" ht="22.5">
      <c r="A104" s="1170" t="s">
        <v>878</v>
      </c>
      <c r="B104" s="1200" t="str">
        <f>'Бюд.р.'!A379</f>
        <v>Прочая закупка товаров, работ и услуг для муниципальных нужд</v>
      </c>
      <c r="C104" s="1109" t="s">
        <v>591</v>
      </c>
      <c r="D104" s="1110" t="s">
        <v>396</v>
      </c>
      <c r="E104" s="1110" t="s">
        <v>376</v>
      </c>
      <c r="F104" s="1413">
        <f>'Бюд.р.'!F379</f>
        <v>244</v>
      </c>
      <c r="G104" s="1110"/>
      <c r="H104" s="1110"/>
      <c r="I104" s="1456">
        <f>'Бюд.р.'!H379</f>
        <v>0</v>
      </c>
      <c r="J104" s="1353">
        <f>I104*1.05</f>
        <v>0</v>
      </c>
      <c r="K104" s="1354">
        <f>J104*1.05</f>
        <v>0</v>
      </c>
    </row>
    <row r="105" spans="1:11" ht="33.75">
      <c r="A105" s="1173" t="s">
        <v>879</v>
      </c>
      <c r="B105" s="1312" t="s">
        <v>375</v>
      </c>
      <c r="C105" s="1131" t="s">
        <v>591</v>
      </c>
      <c r="D105" s="1132" t="s">
        <v>396</v>
      </c>
      <c r="E105" s="1132" t="s">
        <v>956</v>
      </c>
      <c r="F105" s="1412"/>
      <c r="G105" s="1132"/>
      <c r="H105" s="1132"/>
      <c r="I105" s="1455">
        <f>I106</f>
        <v>198.17000000000002</v>
      </c>
      <c r="J105" s="1351">
        <f>J106</f>
        <v>208.07850000000002</v>
      </c>
      <c r="K105" s="1352">
        <f>K106</f>
        <v>218.48242500000003</v>
      </c>
    </row>
    <row r="106" spans="1:11" ht="22.5">
      <c r="A106" s="1171" t="s">
        <v>880</v>
      </c>
      <c r="B106" s="1200" t="str">
        <f>'Бюд.р.'!A384</f>
        <v>Прочая закупка товаров, работ и услуг для муниципальных нужд</v>
      </c>
      <c r="C106" s="1109" t="s">
        <v>591</v>
      </c>
      <c r="D106" s="1110" t="s">
        <v>396</v>
      </c>
      <c r="E106" s="1110" t="s">
        <v>956</v>
      </c>
      <c r="F106" s="1413">
        <f>'Бюд.р.'!F384</f>
        <v>244</v>
      </c>
      <c r="G106" s="1110"/>
      <c r="H106" s="1110"/>
      <c r="I106" s="1456">
        <f>'Бюд.р.'!H384</f>
        <v>198.17000000000002</v>
      </c>
      <c r="J106" s="1353">
        <f>I106*1.05</f>
        <v>208.07850000000002</v>
      </c>
      <c r="K106" s="1354">
        <f>J106*1.05</f>
        <v>218.48242500000003</v>
      </c>
    </row>
    <row r="107" spans="1:11" ht="33.75">
      <c r="A107" s="1217" t="s">
        <v>881</v>
      </c>
      <c r="B107" s="1313" t="s">
        <v>660</v>
      </c>
      <c r="C107" s="1145" t="s">
        <v>591</v>
      </c>
      <c r="D107" s="1146" t="s">
        <v>396</v>
      </c>
      <c r="E107" s="1146" t="s">
        <v>661</v>
      </c>
      <c r="F107" s="1429"/>
      <c r="G107" s="1484"/>
      <c r="H107" s="1484"/>
      <c r="I107" s="1466">
        <f>I108+I110+I114+I112</f>
        <v>7744.922</v>
      </c>
      <c r="J107" s="1371">
        <f>J108+J110+J114+J112</f>
        <v>8132.1681</v>
      </c>
      <c r="K107" s="1372">
        <f>K108+K110+K114+K112</f>
        <v>8538.776505</v>
      </c>
    </row>
    <row r="108" spans="1:11" ht="45">
      <c r="A108" s="1173" t="s">
        <v>882</v>
      </c>
      <c r="B108" s="1201" t="s">
        <v>957</v>
      </c>
      <c r="C108" s="1131" t="s">
        <v>591</v>
      </c>
      <c r="D108" s="1132" t="s">
        <v>396</v>
      </c>
      <c r="E108" s="1132" t="s">
        <v>659</v>
      </c>
      <c r="F108" s="1412"/>
      <c r="G108" s="1132"/>
      <c r="H108" s="1132"/>
      <c r="I108" s="1455">
        <f>SUM(I109:I109)</f>
        <v>7297.972</v>
      </c>
      <c r="J108" s="1351">
        <f>SUM(J109:J109)</f>
        <v>7662.8706</v>
      </c>
      <c r="K108" s="1352">
        <f>SUM(K109:K109)</f>
        <v>8046.0141300000005</v>
      </c>
    </row>
    <row r="109" spans="1:11" ht="22.5">
      <c r="A109" s="1171" t="s">
        <v>883</v>
      </c>
      <c r="B109" s="1200" t="str">
        <f>'Бюд.р.'!A393</f>
        <v>Прочая закупка товаров, работ и услуг для муниципальных нужд</v>
      </c>
      <c r="C109" s="1109" t="s">
        <v>591</v>
      </c>
      <c r="D109" s="1110" t="s">
        <v>396</v>
      </c>
      <c r="E109" s="1110" t="s">
        <v>659</v>
      </c>
      <c r="F109" s="1413">
        <f>'Бюд.р.'!F393</f>
        <v>244</v>
      </c>
      <c r="G109" s="1110"/>
      <c r="H109" s="1110"/>
      <c r="I109" s="1456">
        <f>'Бюд.р.'!H393</f>
        <v>7297.972</v>
      </c>
      <c r="J109" s="1353">
        <f>I109*1.05</f>
        <v>7662.8706</v>
      </c>
      <c r="K109" s="1354">
        <f>J109*1.05</f>
        <v>8046.0141300000005</v>
      </c>
    </row>
    <row r="110" spans="1:11" ht="33.75">
      <c r="A110" s="1163" t="s">
        <v>884</v>
      </c>
      <c r="B110" s="1201" t="s">
        <v>958</v>
      </c>
      <c r="C110" s="1131" t="s">
        <v>591</v>
      </c>
      <c r="D110" s="1132" t="s">
        <v>396</v>
      </c>
      <c r="E110" s="1132" t="s">
        <v>662</v>
      </c>
      <c r="F110" s="1412"/>
      <c r="G110" s="1132"/>
      <c r="H110" s="1132"/>
      <c r="I110" s="1455">
        <f>I111</f>
        <v>296.95</v>
      </c>
      <c r="J110" s="1351">
        <f>J111</f>
        <v>311.7975</v>
      </c>
      <c r="K110" s="1352">
        <f>K111</f>
        <v>327.387375</v>
      </c>
    </row>
    <row r="111" spans="1:11" ht="22.5">
      <c r="A111" s="1170" t="s">
        <v>885</v>
      </c>
      <c r="B111" s="1200" t="str">
        <f>'Бюд.р.'!A403</f>
        <v>Прочая закупка товаров, работ и услуг для муниципальных нужд</v>
      </c>
      <c r="C111" s="1109" t="s">
        <v>591</v>
      </c>
      <c r="D111" s="1110" t="s">
        <v>396</v>
      </c>
      <c r="E111" s="1110" t="s">
        <v>662</v>
      </c>
      <c r="F111" s="1413">
        <f>'Бюд.р.'!F403</f>
        <v>244</v>
      </c>
      <c r="G111" s="1110"/>
      <c r="H111" s="1110"/>
      <c r="I111" s="1456">
        <f>'Бюд.р.'!H403</f>
        <v>296.95</v>
      </c>
      <c r="J111" s="1353">
        <f>I111*1.05</f>
        <v>311.7975</v>
      </c>
      <c r="K111" s="1354">
        <f>J111*1.05</f>
        <v>327.387375</v>
      </c>
    </row>
    <row r="112" spans="1:11" ht="78.75">
      <c r="A112" s="1173" t="s">
        <v>886</v>
      </c>
      <c r="B112" s="1201" t="s">
        <v>977</v>
      </c>
      <c r="C112" s="1147">
        <v>968</v>
      </c>
      <c r="D112" s="1134">
        <v>503</v>
      </c>
      <c r="E112" s="1134" t="str">
        <f>E113</f>
        <v>600 03 04</v>
      </c>
      <c r="F112" s="1430"/>
      <c r="G112" s="1110"/>
      <c r="H112" s="1110"/>
      <c r="I112" s="1456">
        <f>I113</f>
        <v>0</v>
      </c>
      <c r="J112" s="1361">
        <f>J113</f>
        <v>0</v>
      </c>
      <c r="K112" s="1362">
        <f>K113</f>
        <v>0</v>
      </c>
    </row>
    <row r="113" spans="1:11" ht="22.5">
      <c r="A113" s="1170" t="s">
        <v>887</v>
      </c>
      <c r="B113" s="1200" t="str">
        <f>'Бюд.р.'!A410</f>
        <v>Прочая закупка товаров, работ и услуг для муниципальных нужд</v>
      </c>
      <c r="C113" s="1109" t="s">
        <v>591</v>
      </c>
      <c r="D113" s="1110" t="s">
        <v>396</v>
      </c>
      <c r="E113" s="1110" t="s">
        <v>976</v>
      </c>
      <c r="F113" s="1413">
        <f>'Бюд.р.'!F410</f>
        <v>244</v>
      </c>
      <c r="G113" s="1110"/>
      <c r="H113" s="1110"/>
      <c r="I113" s="1456">
        <f>'Бюд.р.'!H410</f>
        <v>0</v>
      </c>
      <c r="J113" s="1353">
        <f>I113*1.05</f>
        <v>0</v>
      </c>
      <c r="K113" s="1354">
        <f>J113*1.05</f>
        <v>0</v>
      </c>
    </row>
    <row r="114" spans="1:11" ht="45">
      <c r="A114" s="1173" t="s">
        <v>978</v>
      </c>
      <c r="B114" s="1201" t="s">
        <v>960</v>
      </c>
      <c r="C114" s="1147">
        <v>968</v>
      </c>
      <c r="D114" s="1134">
        <v>503</v>
      </c>
      <c r="E114" s="1134" t="str">
        <f>E115</f>
        <v>600 03 05</v>
      </c>
      <c r="F114" s="1431"/>
      <c r="G114" s="1149"/>
      <c r="H114" s="1149"/>
      <c r="I114" s="1455">
        <f>I115</f>
        <v>150</v>
      </c>
      <c r="J114" s="1351">
        <f>J115</f>
        <v>157.5</v>
      </c>
      <c r="K114" s="1352">
        <f>K115</f>
        <v>165.375</v>
      </c>
    </row>
    <row r="115" spans="1:11" ht="22.5">
      <c r="A115" s="1170" t="s">
        <v>979</v>
      </c>
      <c r="B115" s="1200" t="str">
        <f>'Бюд.р.'!A415</f>
        <v>Прочая закупка товаров, работ и услуг для муниципальных нужд</v>
      </c>
      <c r="C115" s="1109" t="s">
        <v>591</v>
      </c>
      <c r="D115" s="1110" t="s">
        <v>396</v>
      </c>
      <c r="E115" s="1110" t="s">
        <v>959</v>
      </c>
      <c r="F115" s="1413">
        <f>'Бюд.р.'!F415</f>
        <v>244</v>
      </c>
      <c r="G115" s="1110"/>
      <c r="H115" s="1110"/>
      <c r="I115" s="1456">
        <f>'Бюд.р.'!H415</f>
        <v>150</v>
      </c>
      <c r="J115" s="1353">
        <f>I115*1.05</f>
        <v>157.5</v>
      </c>
      <c r="K115" s="1354">
        <f>J115*1.05</f>
        <v>165.375</v>
      </c>
    </row>
    <row r="116" spans="1:11" ht="22.5">
      <c r="A116" s="1217" t="s">
        <v>888</v>
      </c>
      <c r="B116" s="1313" t="s">
        <v>961</v>
      </c>
      <c r="C116" s="1145" t="s">
        <v>591</v>
      </c>
      <c r="D116" s="1146" t="s">
        <v>396</v>
      </c>
      <c r="E116" s="1146" t="s">
        <v>663</v>
      </c>
      <c r="F116" s="1432"/>
      <c r="G116" s="1485"/>
      <c r="H116" s="1485"/>
      <c r="I116" s="1466">
        <f>I117+I119+I121</f>
        <v>6043.642</v>
      </c>
      <c r="J116" s="1371">
        <f>J117+J119+J121</f>
        <v>6345.8241</v>
      </c>
      <c r="K116" s="1372">
        <f>K117+K119+K121</f>
        <v>6663.115305000001</v>
      </c>
    </row>
    <row r="117" spans="1:11" ht="56.25">
      <c r="A117" s="1173" t="s">
        <v>889</v>
      </c>
      <c r="B117" s="1201" t="s">
        <v>962</v>
      </c>
      <c r="C117" s="1131" t="s">
        <v>591</v>
      </c>
      <c r="D117" s="1132" t="s">
        <v>396</v>
      </c>
      <c r="E117" s="1132" t="s">
        <v>664</v>
      </c>
      <c r="F117" s="1431"/>
      <c r="G117" s="1149"/>
      <c r="H117" s="1149"/>
      <c r="I117" s="1455">
        <f>I118</f>
        <v>4108.826</v>
      </c>
      <c r="J117" s="1351">
        <f>J118</f>
        <v>4314.2673</v>
      </c>
      <c r="K117" s="1352">
        <f>K118</f>
        <v>4529.980665000001</v>
      </c>
    </row>
    <row r="118" spans="1:11" ht="22.5">
      <c r="A118" s="1170" t="s">
        <v>890</v>
      </c>
      <c r="B118" s="1200" t="str">
        <f>'Бюд.р.'!A421</f>
        <v>Прочая закупка товаров, работ и услуг для муниципальных нужд</v>
      </c>
      <c r="C118" s="1109" t="s">
        <v>591</v>
      </c>
      <c r="D118" s="1110" t="s">
        <v>396</v>
      </c>
      <c r="E118" s="1110" t="s">
        <v>664</v>
      </c>
      <c r="F118" s="1413">
        <f>'Бюд.р.'!F421</f>
        <v>244</v>
      </c>
      <c r="G118" s="1110"/>
      <c r="H118" s="1110"/>
      <c r="I118" s="1456">
        <f>'Бюд.р.'!H421</f>
        <v>4108.826</v>
      </c>
      <c r="J118" s="1353">
        <f>I118*1.05</f>
        <v>4314.2673</v>
      </c>
      <c r="K118" s="1354">
        <f>J118*1.05</f>
        <v>4529.980665000001</v>
      </c>
    </row>
    <row r="119" spans="1:11" ht="33.75">
      <c r="A119" s="1173" t="s">
        <v>891</v>
      </c>
      <c r="B119" s="1201" t="s">
        <v>963</v>
      </c>
      <c r="C119" s="1131" t="s">
        <v>591</v>
      </c>
      <c r="D119" s="1132" t="s">
        <v>396</v>
      </c>
      <c r="E119" s="1132" t="s">
        <v>681</v>
      </c>
      <c r="F119" s="1431"/>
      <c r="G119" s="1149"/>
      <c r="H119" s="1149"/>
      <c r="I119" s="1455">
        <f>I120</f>
        <v>1134.8159999999998</v>
      </c>
      <c r="J119" s="1351">
        <f>J120</f>
        <v>1191.5567999999998</v>
      </c>
      <c r="K119" s="1352">
        <f>K120</f>
        <v>1251.13464</v>
      </c>
    </row>
    <row r="120" spans="1:11" ht="22.5">
      <c r="A120" s="1170" t="s">
        <v>892</v>
      </c>
      <c r="B120" s="1200" t="str">
        <f>'Бюд.р.'!A429</f>
        <v>Прочая закупка товаров, работ и услуг для муниципальных нужд</v>
      </c>
      <c r="C120" s="1109" t="s">
        <v>591</v>
      </c>
      <c r="D120" s="1110" t="s">
        <v>396</v>
      </c>
      <c r="E120" s="1110" t="s">
        <v>681</v>
      </c>
      <c r="F120" s="1413">
        <f>'Бюд.р.'!F429</f>
        <v>244</v>
      </c>
      <c r="G120" s="1110"/>
      <c r="H120" s="1110"/>
      <c r="I120" s="1456">
        <f>'Бюд.р.'!H429</f>
        <v>1134.8159999999998</v>
      </c>
      <c r="J120" s="1353">
        <f>I120*1.05</f>
        <v>1191.5567999999998</v>
      </c>
      <c r="K120" s="1354">
        <f>J120*1.05</f>
        <v>1251.13464</v>
      </c>
    </row>
    <row r="121" spans="1:11" ht="56.25">
      <c r="A121" s="1173" t="s">
        <v>970</v>
      </c>
      <c r="B121" s="1312" t="s">
        <v>133</v>
      </c>
      <c r="C121" s="1131" t="s">
        <v>591</v>
      </c>
      <c r="D121" s="1132" t="s">
        <v>396</v>
      </c>
      <c r="E121" s="1132" t="s">
        <v>825</v>
      </c>
      <c r="F121" s="1431"/>
      <c r="G121" s="1149"/>
      <c r="H121" s="1149"/>
      <c r="I121" s="1455">
        <f>I122</f>
        <v>800</v>
      </c>
      <c r="J121" s="1351">
        <f>J122</f>
        <v>840</v>
      </c>
      <c r="K121" s="1352">
        <f>K122</f>
        <v>882</v>
      </c>
    </row>
    <row r="122" spans="1:11" ht="23.25" thickBot="1">
      <c r="A122" s="1170" t="s">
        <v>971</v>
      </c>
      <c r="B122" s="1200" t="str">
        <f>'Бюд.р.'!A434</f>
        <v>Прочая закупка товаров, работ и услуг для муниципальных нужд</v>
      </c>
      <c r="C122" s="1109" t="s">
        <v>591</v>
      </c>
      <c r="D122" s="1110" t="s">
        <v>396</v>
      </c>
      <c r="E122" s="1110" t="s">
        <v>825</v>
      </c>
      <c r="F122" s="1413">
        <f>'Бюд.р.'!F434</f>
        <v>244</v>
      </c>
      <c r="G122" s="1110"/>
      <c r="H122" s="1110"/>
      <c r="I122" s="1456">
        <f>'Бюд.р.'!H434</f>
        <v>800</v>
      </c>
      <c r="J122" s="1353">
        <f>I122*1.05</f>
        <v>840</v>
      </c>
      <c r="K122" s="1354">
        <f>J122*1.05</f>
        <v>882</v>
      </c>
    </row>
    <row r="123" spans="1:11" ht="13.5" thickBot="1">
      <c r="A123" s="1243" t="s">
        <v>611</v>
      </c>
      <c r="B123" s="1302" t="s">
        <v>684</v>
      </c>
      <c r="C123" s="1230" t="s">
        <v>591</v>
      </c>
      <c r="D123" s="1231" t="s">
        <v>685</v>
      </c>
      <c r="E123" s="1244"/>
      <c r="F123" s="1433"/>
      <c r="G123" s="1486"/>
      <c r="H123" s="1486"/>
      <c r="I123" s="1453">
        <f aca="true" t="shared" si="5" ref="I123:K125">I124</f>
        <v>0</v>
      </c>
      <c r="J123" s="1347">
        <f t="shared" si="5"/>
        <v>0</v>
      </c>
      <c r="K123" s="1348">
        <f t="shared" si="5"/>
        <v>0</v>
      </c>
    </row>
    <row r="124" spans="1:11" ht="22.5">
      <c r="A124" s="1245" t="s">
        <v>372</v>
      </c>
      <c r="B124" s="1303" t="s">
        <v>687</v>
      </c>
      <c r="C124" s="1233" t="s">
        <v>591</v>
      </c>
      <c r="D124" s="1234" t="s">
        <v>686</v>
      </c>
      <c r="E124" s="1241"/>
      <c r="F124" s="1423"/>
      <c r="G124" s="1481"/>
      <c r="H124" s="1481"/>
      <c r="I124" s="1454">
        <f t="shared" si="5"/>
        <v>0</v>
      </c>
      <c r="J124" s="1349">
        <f t="shared" si="5"/>
        <v>0</v>
      </c>
      <c r="K124" s="1350">
        <f t="shared" si="5"/>
        <v>0</v>
      </c>
    </row>
    <row r="125" spans="1:11" ht="45">
      <c r="A125" s="1173" t="s">
        <v>11</v>
      </c>
      <c r="B125" s="1314" t="s">
        <v>688</v>
      </c>
      <c r="C125" s="1131" t="s">
        <v>591</v>
      </c>
      <c r="D125" s="1132" t="s">
        <v>686</v>
      </c>
      <c r="E125" s="1132" t="s">
        <v>689</v>
      </c>
      <c r="F125" s="1434"/>
      <c r="G125" s="1132"/>
      <c r="H125" s="1132"/>
      <c r="I125" s="1455">
        <f t="shared" si="5"/>
        <v>0</v>
      </c>
      <c r="J125" s="1351">
        <f t="shared" si="5"/>
        <v>0</v>
      </c>
      <c r="K125" s="1352">
        <f t="shared" si="5"/>
        <v>0</v>
      </c>
    </row>
    <row r="126" spans="1:11" ht="23.25" thickBot="1">
      <c r="A126" s="1172" t="s">
        <v>12</v>
      </c>
      <c r="B126" s="1200" t="str">
        <f>'Бюд.р.'!A440</f>
        <v>Прочая закупка товаров, работ и услуг для муниципальных нужд</v>
      </c>
      <c r="C126" s="1141" t="s">
        <v>591</v>
      </c>
      <c r="D126" s="1142" t="s">
        <v>686</v>
      </c>
      <c r="E126" s="1142" t="s">
        <v>689</v>
      </c>
      <c r="F126" s="1426">
        <f>'Бюд.р.'!F440</f>
        <v>244</v>
      </c>
      <c r="G126" s="1110"/>
      <c r="H126" s="1110"/>
      <c r="I126" s="1465">
        <f>'Бюд.р.'!H440</f>
        <v>0</v>
      </c>
      <c r="J126" s="1353">
        <f>I126*1.05</f>
        <v>0</v>
      </c>
      <c r="K126" s="1354">
        <f>J126*1.05</f>
        <v>0</v>
      </c>
    </row>
    <row r="127" spans="1:11" ht="13.5" thickBot="1">
      <c r="A127" s="1243" t="s">
        <v>612</v>
      </c>
      <c r="B127" s="1302" t="s">
        <v>236</v>
      </c>
      <c r="C127" s="1230" t="s">
        <v>591</v>
      </c>
      <c r="D127" s="1231" t="s">
        <v>358</v>
      </c>
      <c r="E127" s="1244"/>
      <c r="F127" s="1422"/>
      <c r="G127" s="1480"/>
      <c r="H127" s="1480"/>
      <c r="I127" s="1453">
        <f>I134+I139+I128</f>
        <v>2997.0100000000007</v>
      </c>
      <c r="J127" s="1347">
        <f>J134+J139+J128</f>
        <v>3146.8605</v>
      </c>
      <c r="K127" s="1348">
        <f>K134+K139+K128</f>
        <v>3304.203525000001</v>
      </c>
    </row>
    <row r="128" spans="1:11" ht="45">
      <c r="A128" s="1245" t="s">
        <v>94</v>
      </c>
      <c r="B128" s="1303" t="s">
        <v>992</v>
      </c>
      <c r="C128" s="1233" t="s">
        <v>591</v>
      </c>
      <c r="D128" s="1234" t="s">
        <v>993</v>
      </c>
      <c r="E128" s="1241"/>
      <c r="F128" s="1435"/>
      <c r="G128" s="1487"/>
      <c r="H128" s="1487"/>
      <c r="I128" s="1454">
        <f>I129</f>
        <v>164.40000000000003</v>
      </c>
      <c r="J128" s="1349">
        <f>J129</f>
        <v>172.62000000000003</v>
      </c>
      <c r="K128" s="1350">
        <f>K129</f>
        <v>181.25100000000003</v>
      </c>
    </row>
    <row r="129" spans="1:11" ht="112.5">
      <c r="A129" s="1173" t="s">
        <v>95</v>
      </c>
      <c r="B129" s="1304" t="s">
        <v>1000</v>
      </c>
      <c r="C129" s="1131" t="s">
        <v>591</v>
      </c>
      <c r="D129" s="1132" t="s">
        <v>993</v>
      </c>
      <c r="E129" s="1132" t="str">
        <f>'Бюд.р.'!D446</f>
        <v>428 01 00</v>
      </c>
      <c r="F129" s="1412"/>
      <c r="G129" s="1132"/>
      <c r="H129" s="1132"/>
      <c r="I129" s="1455">
        <f>I130+I132</f>
        <v>164.40000000000003</v>
      </c>
      <c r="J129" s="1351">
        <f>J130+J132</f>
        <v>172.62000000000003</v>
      </c>
      <c r="K129" s="1352">
        <f>K130+K132</f>
        <v>181.25100000000003</v>
      </c>
    </row>
    <row r="130" spans="1:11" ht="78.75">
      <c r="A130" s="1260" t="s">
        <v>96</v>
      </c>
      <c r="B130" s="1304" t="s">
        <v>1003</v>
      </c>
      <c r="C130" s="1131" t="s">
        <v>591</v>
      </c>
      <c r="D130" s="1132" t="s">
        <v>993</v>
      </c>
      <c r="E130" s="1132" t="str">
        <f>E131</f>
        <v>428 01 01</v>
      </c>
      <c r="F130" s="1412"/>
      <c r="G130" s="1132"/>
      <c r="H130" s="1132"/>
      <c r="I130" s="1455">
        <f>I131</f>
        <v>0</v>
      </c>
      <c r="J130" s="1351">
        <f>J131</f>
        <v>0</v>
      </c>
      <c r="K130" s="1352">
        <f>K131</f>
        <v>0</v>
      </c>
    </row>
    <row r="131" spans="1:11" ht="22.5">
      <c r="A131" s="1170" t="s">
        <v>1039</v>
      </c>
      <c r="B131" s="1200" t="str">
        <f>'Бюд.р.'!A449</f>
        <v>Прочая закупка товаров, работ и услуг для муниципальных нужд</v>
      </c>
      <c r="C131" s="1109" t="s">
        <v>591</v>
      </c>
      <c r="D131" s="1110">
        <v>705</v>
      </c>
      <c r="E131" s="1110" t="str">
        <f>'Бюд.р.'!D449</f>
        <v>428 01 01</v>
      </c>
      <c r="F131" s="1413">
        <f>'Бюд.р.'!F449</f>
        <v>244</v>
      </c>
      <c r="G131" s="1110"/>
      <c r="H131" s="1110"/>
      <c r="I131" s="1456">
        <f>'Бюд.р.'!H449</f>
        <v>0</v>
      </c>
      <c r="J131" s="1353">
        <f>I131*1.05</f>
        <v>0</v>
      </c>
      <c r="K131" s="1354">
        <f>J131*1.05</f>
        <v>0</v>
      </c>
    </row>
    <row r="132" spans="1:11" ht="45">
      <c r="A132" s="1261" t="s">
        <v>1040</v>
      </c>
      <c r="B132" s="1201" t="s">
        <v>1004</v>
      </c>
      <c r="C132" s="1131" t="s">
        <v>591</v>
      </c>
      <c r="D132" s="1132" t="s">
        <v>993</v>
      </c>
      <c r="E132" s="1132" t="str">
        <f>E133</f>
        <v>428 01 02</v>
      </c>
      <c r="F132" s="1412"/>
      <c r="G132" s="1132"/>
      <c r="H132" s="1132"/>
      <c r="I132" s="1455">
        <f>I133</f>
        <v>164.40000000000003</v>
      </c>
      <c r="J132" s="1351">
        <f>J133</f>
        <v>172.62000000000003</v>
      </c>
      <c r="K132" s="1352">
        <f>K133</f>
        <v>181.25100000000003</v>
      </c>
    </row>
    <row r="133" spans="1:11" ht="22.5">
      <c r="A133" s="1170" t="s">
        <v>1041</v>
      </c>
      <c r="B133" s="1200" t="str">
        <f>'Бюд.р.'!A454</f>
        <v>Прочая закупка товаров, работ и услуг для муниципальных нужд</v>
      </c>
      <c r="C133" s="1109" t="s">
        <v>591</v>
      </c>
      <c r="D133" s="1110">
        <v>705</v>
      </c>
      <c r="E133" s="1110" t="str">
        <f>'Бюд.р.'!D454</f>
        <v>428 01 02</v>
      </c>
      <c r="F133" s="1413">
        <f>'Бюд.р.'!F454</f>
        <v>244</v>
      </c>
      <c r="G133" s="1110"/>
      <c r="H133" s="1110"/>
      <c r="I133" s="1456">
        <f>'Бюд.р.'!H454</f>
        <v>164.40000000000003</v>
      </c>
      <c r="J133" s="1353">
        <f>I133*1.05</f>
        <v>172.62000000000003</v>
      </c>
      <c r="K133" s="1354">
        <f>J133*1.05</f>
        <v>181.25100000000003</v>
      </c>
    </row>
    <row r="134" spans="1:11" ht="22.5">
      <c r="A134" s="1245" t="s">
        <v>5</v>
      </c>
      <c r="B134" s="1303" t="s">
        <v>357</v>
      </c>
      <c r="C134" s="1233" t="s">
        <v>591</v>
      </c>
      <c r="D134" s="1234" t="s">
        <v>359</v>
      </c>
      <c r="E134" s="1241"/>
      <c r="F134" s="1435"/>
      <c r="G134" s="1487"/>
      <c r="H134" s="1487"/>
      <c r="I134" s="1454">
        <f>I135+I137</f>
        <v>2714.6000000000004</v>
      </c>
      <c r="J134" s="1349">
        <f>J135+J137</f>
        <v>2850.33</v>
      </c>
      <c r="K134" s="1350">
        <f>K135+K137</f>
        <v>2992.8465000000006</v>
      </c>
    </row>
    <row r="135" spans="1:11" ht="45">
      <c r="A135" s="1173" t="s">
        <v>6</v>
      </c>
      <c r="B135" s="1304" t="s">
        <v>1031</v>
      </c>
      <c r="C135" s="1131" t="s">
        <v>591</v>
      </c>
      <c r="D135" s="1132" t="s">
        <v>359</v>
      </c>
      <c r="E135" s="1132" t="s">
        <v>221</v>
      </c>
      <c r="F135" s="1412"/>
      <c r="G135" s="1132"/>
      <c r="H135" s="1132"/>
      <c r="I135" s="1455">
        <f>I136</f>
        <v>1103.7</v>
      </c>
      <c r="J135" s="1351">
        <f>J136</f>
        <v>1158.885</v>
      </c>
      <c r="K135" s="1352">
        <f>K136</f>
        <v>1216.82925</v>
      </c>
    </row>
    <row r="136" spans="1:11" ht="22.5">
      <c r="A136" s="1170" t="s">
        <v>7</v>
      </c>
      <c r="B136" s="1200" t="str">
        <f>'Бюд.р.'!A471</f>
        <v>Прочая закупка товаров, работ и услуг для муниципальных нужд</v>
      </c>
      <c r="C136" s="1109" t="s">
        <v>591</v>
      </c>
      <c r="D136" s="1110" t="s">
        <v>359</v>
      </c>
      <c r="E136" s="1110" t="s">
        <v>221</v>
      </c>
      <c r="F136" s="1413">
        <f>'Бюд.р.'!F471</f>
        <v>244</v>
      </c>
      <c r="G136" s="1110"/>
      <c r="H136" s="1110"/>
      <c r="I136" s="1456">
        <f>'Бюд.р.'!H471</f>
        <v>1103.7</v>
      </c>
      <c r="J136" s="1353">
        <f>I136*1.05</f>
        <v>1158.885</v>
      </c>
      <c r="K136" s="1354">
        <f>J136*1.05</f>
        <v>1216.82925</v>
      </c>
    </row>
    <row r="137" spans="1:11" ht="67.5">
      <c r="A137" s="1173" t="s">
        <v>904</v>
      </c>
      <c r="B137" s="1304" t="s">
        <v>361</v>
      </c>
      <c r="C137" s="1131" t="s">
        <v>591</v>
      </c>
      <c r="D137" s="1132" t="s">
        <v>359</v>
      </c>
      <c r="E137" s="1132" t="s">
        <v>222</v>
      </c>
      <c r="F137" s="1412"/>
      <c r="G137" s="1132"/>
      <c r="H137" s="1132"/>
      <c r="I137" s="1455">
        <f>I138</f>
        <v>1610.9</v>
      </c>
      <c r="J137" s="1351">
        <f>J138</f>
        <v>1691.4450000000002</v>
      </c>
      <c r="K137" s="1352">
        <f>K138</f>
        <v>1776.0172500000003</v>
      </c>
    </row>
    <row r="138" spans="1:11" ht="22.5">
      <c r="A138" s="1170" t="s">
        <v>905</v>
      </c>
      <c r="B138" s="1200" t="str">
        <f>'Бюд.р.'!A479</f>
        <v>Прочая закупка товаров, работ и услуг для муниципальных нужд</v>
      </c>
      <c r="C138" s="1109" t="s">
        <v>591</v>
      </c>
      <c r="D138" s="1110" t="s">
        <v>359</v>
      </c>
      <c r="E138" s="1110" t="s">
        <v>222</v>
      </c>
      <c r="F138" s="1413">
        <f>'Бюд.р.'!F479</f>
        <v>244</v>
      </c>
      <c r="G138" s="1110"/>
      <c r="H138" s="1110"/>
      <c r="I138" s="1456">
        <f>'Бюд.р.'!H479</f>
        <v>1610.9</v>
      </c>
      <c r="J138" s="1353">
        <f>I138*1.05</f>
        <v>1691.4450000000002</v>
      </c>
      <c r="K138" s="1354">
        <f>J138*1.05</f>
        <v>1776.0172500000003</v>
      </c>
    </row>
    <row r="139" spans="1:11" ht="22.5">
      <c r="A139" s="1246" t="s">
        <v>503</v>
      </c>
      <c r="B139" s="1315" t="s">
        <v>14</v>
      </c>
      <c r="C139" s="1236" t="s">
        <v>591</v>
      </c>
      <c r="D139" s="1237" t="s">
        <v>18</v>
      </c>
      <c r="E139" s="1241"/>
      <c r="F139" s="1436"/>
      <c r="G139" s="1487"/>
      <c r="H139" s="1487"/>
      <c r="I139" s="1457">
        <f>I140+I142</f>
        <v>118.01</v>
      </c>
      <c r="J139" s="1355">
        <f>J140+J142</f>
        <v>123.91050000000001</v>
      </c>
      <c r="K139" s="1356">
        <f>K140+K142</f>
        <v>130.10602500000002</v>
      </c>
    </row>
    <row r="140" spans="1:11" ht="56.25">
      <c r="A140" s="1173" t="s">
        <v>506</v>
      </c>
      <c r="B140" s="1201" t="s">
        <v>946</v>
      </c>
      <c r="C140" s="1131" t="s">
        <v>591</v>
      </c>
      <c r="D140" s="1132" t="s">
        <v>18</v>
      </c>
      <c r="E140" s="1132" t="s">
        <v>409</v>
      </c>
      <c r="F140" s="1412"/>
      <c r="G140" s="1132"/>
      <c r="H140" s="1132"/>
      <c r="I140" s="1455">
        <f>I141</f>
        <v>35</v>
      </c>
      <c r="J140" s="1351">
        <f>J141</f>
        <v>36.75</v>
      </c>
      <c r="K140" s="1352">
        <f>K141</f>
        <v>38.5875</v>
      </c>
    </row>
    <row r="141" spans="1:11" ht="22.5">
      <c r="A141" s="1172" t="s">
        <v>507</v>
      </c>
      <c r="B141" s="1200" t="str">
        <f>'Бюд.р.'!A496</f>
        <v>Прочая закупка товаров, работ и услуг для муниципальных нужд</v>
      </c>
      <c r="C141" s="1141" t="s">
        <v>591</v>
      </c>
      <c r="D141" s="1142" t="s">
        <v>18</v>
      </c>
      <c r="E141" s="1142" t="s">
        <v>409</v>
      </c>
      <c r="F141" s="1426">
        <f>'Бюд.р.'!F496</f>
        <v>244</v>
      </c>
      <c r="G141" s="1110"/>
      <c r="H141" s="1110"/>
      <c r="I141" s="1465">
        <f>'Бюд.р.'!H496</f>
        <v>35</v>
      </c>
      <c r="J141" s="1353">
        <f>I141*1.05</f>
        <v>36.75</v>
      </c>
      <c r="K141" s="1354">
        <f>J141*1.05</f>
        <v>38.5875</v>
      </c>
    </row>
    <row r="142" spans="1:11" ht="45">
      <c r="A142" s="1173" t="s">
        <v>839</v>
      </c>
      <c r="B142" s="1201" t="s">
        <v>948</v>
      </c>
      <c r="C142" s="1131" t="s">
        <v>591</v>
      </c>
      <c r="D142" s="1132" t="s">
        <v>18</v>
      </c>
      <c r="E142" s="1132" t="s">
        <v>143</v>
      </c>
      <c r="F142" s="1412"/>
      <c r="G142" s="1132"/>
      <c r="H142" s="1132"/>
      <c r="I142" s="1455">
        <f>I143</f>
        <v>83.01</v>
      </c>
      <c r="J142" s="1351">
        <f>J143</f>
        <v>87.16050000000001</v>
      </c>
      <c r="K142" s="1352">
        <f>K143</f>
        <v>91.51852500000001</v>
      </c>
    </row>
    <row r="143" spans="1:11" ht="23.25" thickBot="1">
      <c r="A143" s="1172" t="s">
        <v>840</v>
      </c>
      <c r="B143" s="1200" t="str">
        <f>'Бюд.р.'!A505</f>
        <v>Прочая закупка товаров, работ и услуг для муниципальных нужд</v>
      </c>
      <c r="C143" s="1141" t="s">
        <v>591</v>
      </c>
      <c r="D143" s="1142" t="s">
        <v>18</v>
      </c>
      <c r="E143" s="1142" t="s">
        <v>143</v>
      </c>
      <c r="F143" s="1426">
        <f>'Бюд.р.'!F505</f>
        <v>244</v>
      </c>
      <c r="G143" s="1110"/>
      <c r="H143" s="1110"/>
      <c r="I143" s="1465">
        <f>'Бюд.р.'!H505</f>
        <v>83.01</v>
      </c>
      <c r="J143" s="1353">
        <f>I143*1.05</f>
        <v>87.16050000000001</v>
      </c>
      <c r="K143" s="1354">
        <f>J143*1.05</f>
        <v>91.51852500000001</v>
      </c>
    </row>
    <row r="144" spans="1:11" ht="13.5" thickBot="1">
      <c r="A144" s="1243" t="s">
        <v>466</v>
      </c>
      <c r="B144" s="1302" t="s">
        <v>842</v>
      </c>
      <c r="C144" s="1230" t="s">
        <v>591</v>
      </c>
      <c r="D144" s="1231" t="s">
        <v>362</v>
      </c>
      <c r="E144" s="1247"/>
      <c r="F144" s="1437"/>
      <c r="G144" s="1488"/>
      <c r="H144" s="1488"/>
      <c r="I144" s="1453" t="e">
        <f>I145</f>
        <v>#REF!</v>
      </c>
      <c r="J144" s="1347" t="e">
        <f>J145</f>
        <v>#REF!</v>
      </c>
      <c r="K144" s="1348" t="e">
        <f>K145</f>
        <v>#REF!</v>
      </c>
    </row>
    <row r="145" spans="1:11" ht="12.75">
      <c r="A145" s="1245" t="s">
        <v>504</v>
      </c>
      <c r="B145" s="1303" t="s">
        <v>641</v>
      </c>
      <c r="C145" s="1233" t="s">
        <v>591</v>
      </c>
      <c r="D145" s="1234" t="s">
        <v>363</v>
      </c>
      <c r="E145" s="1248"/>
      <c r="F145" s="1438"/>
      <c r="G145" s="1238"/>
      <c r="H145" s="1238"/>
      <c r="I145" s="1454" t="e">
        <f>I146+I148</f>
        <v>#REF!</v>
      </c>
      <c r="J145" s="1349" t="e">
        <f>J146+J148</f>
        <v>#REF!</v>
      </c>
      <c r="K145" s="1350" t="e">
        <f>K146+K148</f>
        <v>#REF!</v>
      </c>
    </row>
    <row r="146" spans="1:11" ht="56.25">
      <c r="A146" s="1173" t="s">
        <v>508</v>
      </c>
      <c r="B146" s="1312" t="s">
        <v>973</v>
      </c>
      <c r="C146" s="1131" t="s">
        <v>591</v>
      </c>
      <c r="D146" s="1149" t="s">
        <v>363</v>
      </c>
      <c r="E146" s="1149" t="s">
        <v>972</v>
      </c>
      <c r="F146" s="1439"/>
      <c r="G146" s="1149"/>
      <c r="H146" s="1149"/>
      <c r="I146" s="1455">
        <f>I147</f>
        <v>9164.942</v>
      </c>
      <c r="J146" s="1351">
        <f>J147</f>
        <v>9623.1891</v>
      </c>
      <c r="K146" s="1352">
        <f>K147</f>
        <v>10104.348555</v>
      </c>
    </row>
    <row r="147" spans="1:11" ht="22.5">
      <c r="A147" s="1172" t="s">
        <v>509</v>
      </c>
      <c r="B147" s="1200" t="str">
        <f>'Бюд.р.'!A513</f>
        <v>Прочая закупка товаров, работ и услуг для муниципальных нужд</v>
      </c>
      <c r="C147" s="1109" t="s">
        <v>591</v>
      </c>
      <c r="D147" s="1110" t="s">
        <v>363</v>
      </c>
      <c r="E147" s="1110" t="s">
        <v>972</v>
      </c>
      <c r="F147" s="1413">
        <f>'Бюд.р.'!F513</f>
        <v>244</v>
      </c>
      <c r="G147" s="1110"/>
      <c r="H147" s="1110"/>
      <c r="I147" s="1456">
        <f>'Бюд.р.'!H513</f>
        <v>9164.942</v>
      </c>
      <c r="J147" s="1353">
        <f>I147*1.05</f>
        <v>9623.1891</v>
      </c>
      <c r="K147" s="1354">
        <f>J147*1.05</f>
        <v>10104.348555</v>
      </c>
    </row>
    <row r="148" spans="1:11" ht="45">
      <c r="A148" s="1173" t="s">
        <v>895</v>
      </c>
      <c r="B148" s="1201" t="s">
        <v>830</v>
      </c>
      <c r="C148" s="1147">
        <v>968</v>
      </c>
      <c r="D148" s="1134">
        <v>801</v>
      </c>
      <c r="E148" s="1134" t="str">
        <f>E149</f>
        <v>440 01 02</v>
      </c>
      <c r="F148" s="1266"/>
      <c r="G148" s="1134"/>
      <c r="H148" s="1134"/>
      <c r="I148" s="1455" t="e">
        <f>I149</f>
        <v>#REF!</v>
      </c>
      <c r="J148" s="1351" t="e">
        <f>J149</f>
        <v>#REF!</v>
      </c>
      <c r="K148" s="1352" t="e">
        <f>K149</f>
        <v>#REF!</v>
      </c>
    </row>
    <row r="149" spans="1:11" ht="13.5" thickBot="1">
      <c r="A149" s="1172" t="s">
        <v>896</v>
      </c>
      <c r="B149" s="1200" t="e">
        <f>'Бюд.р.'!#REF!</f>
        <v>#REF!</v>
      </c>
      <c r="C149" s="1211">
        <v>968</v>
      </c>
      <c r="D149" s="1128">
        <v>801</v>
      </c>
      <c r="E149" s="1128" t="s">
        <v>974</v>
      </c>
      <c r="F149" s="1416" t="e">
        <f>'Бюд.р.'!#REF!</f>
        <v>#REF!</v>
      </c>
      <c r="G149" s="1124"/>
      <c r="H149" s="1124"/>
      <c r="I149" s="1459" t="e">
        <f>'Бюд.р.'!#REF!</f>
        <v>#REF!</v>
      </c>
      <c r="J149" s="1353" t="e">
        <f>I149*1.05</f>
        <v>#REF!</v>
      </c>
      <c r="K149" s="1354" t="e">
        <f>J149*1.05</f>
        <v>#REF!</v>
      </c>
    </row>
    <row r="150" spans="1:11" ht="13.5" thickBot="1">
      <c r="A150" s="1243" t="s">
        <v>134</v>
      </c>
      <c r="B150" s="1316" t="s">
        <v>237</v>
      </c>
      <c r="C150" s="1230" t="s">
        <v>591</v>
      </c>
      <c r="D150" s="1247" t="s">
        <v>292</v>
      </c>
      <c r="E150" s="1247"/>
      <c r="F150" s="1437"/>
      <c r="G150" s="1488"/>
      <c r="H150" s="1488"/>
      <c r="I150" s="1453">
        <f>I151+I154</f>
        <v>16099.647</v>
      </c>
      <c r="J150" s="1347">
        <f>J151+J154</f>
        <v>14791.800000000001</v>
      </c>
      <c r="K150" s="1348">
        <f>K151+K154</f>
        <v>15711.8</v>
      </c>
    </row>
    <row r="151" spans="1:11" ht="22.5">
      <c r="A151" s="1246" t="s">
        <v>30</v>
      </c>
      <c r="B151" s="1306" t="s">
        <v>899</v>
      </c>
      <c r="C151" s="1236" t="s">
        <v>591</v>
      </c>
      <c r="D151" s="1238" t="s">
        <v>903</v>
      </c>
      <c r="E151" s="1238"/>
      <c r="F151" s="1419"/>
      <c r="G151" s="1238"/>
      <c r="H151" s="1238"/>
      <c r="I151" s="1457">
        <f aca="true" t="shared" si="6" ref="I151:K152">I152</f>
        <v>959.531</v>
      </c>
      <c r="J151" s="1355">
        <f t="shared" si="6"/>
        <v>556.6</v>
      </c>
      <c r="K151" s="1356">
        <f t="shared" si="6"/>
        <v>584.4</v>
      </c>
    </row>
    <row r="152" spans="1:11" ht="67.5">
      <c r="A152" s="1173" t="s">
        <v>34</v>
      </c>
      <c r="B152" s="1201" t="str">
        <f>'Бюд.р.'!A533</f>
        <v>РАСХОДЫ НА ПРЕДОСТАВЛЕНИЕ ДОПЛАТ К ПЕНСИИ ЛИЦАМ, ЗАМЕЩАВШИМ МУНИЦИПАЛЬНЫЕ ДОЛЖНОСТИ И ДОЛЖНОСТИ МУНИЦИПАЛЬНОЙ СЛУЖБЫ</v>
      </c>
      <c r="C152" s="1131" t="s">
        <v>591</v>
      </c>
      <c r="D152" s="1149" t="s">
        <v>903</v>
      </c>
      <c r="E152" s="1134" t="s">
        <v>901</v>
      </c>
      <c r="F152" s="1266"/>
      <c r="G152" s="1134"/>
      <c r="H152" s="1134"/>
      <c r="I152" s="1455">
        <f t="shared" si="6"/>
        <v>959.531</v>
      </c>
      <c r="J152" s="1351">
        <f t="shared" si="6"/>
        <v>556.6</v>
      </c>
      <c r="K152" s="1352">
        <f t="shared" si="6"/>
        <v>584.4</v>
      </c>
    </row>
    <row r="153" spans="1:11" ht="45">
      <c r="A153" s="1170" t="s">
        <v>35</v>
      </c>
      <c r="B153" s="1224" t="s">
        <v>998</v>
      </c>
      <c r="C153" s="1109" t="s">
        <v>591</v>
      </c>
      <c r="D153" s="1151" t="s">
        <v>903</v>
      </c>
      <c r="E153" s="1270" t="s">
        <v>901</v>
      </c>
      <c r="F153" s="1415">
        <v>314</v>
      </c>
      <c r="G153" s="1223"/>
      <c r="H153" s="1223"/>
      <c r="I153" s="1456">
        <f>'Бюд.р.'!H535</f>
        <v>959.531</v>
      </c>
      <c r="J153" s="1353">
        <v>556.6</v>
      </c>
      <c r="K153" s="1354">
        <v>584.4</v>
      </c>
    </row>
    <row r="154" spans="1:11" ht="12.75">
      <c r="A154" s="1246" t="s">
        <v>68</v>
      </c>
      <c r="B154" s="1306" t="s">
        <v>648</v>
      </c>
      <c r="C154" s="1236" t="s">
        <v>591</v>
      </c>
      <c r="D154" s="1238" t="s">
        <v>766</v>
      </c>
      <c r="E154" s="1238"/>
      <c r="F154" s="1419"/>
      <c r="G154" s="1238"/>
      <c r="H154" s="1238"/>
      <c r="I154" s="1457">
        <f>I155+I157+I159</f>
        <v>15140.116</v>
      </c>
      <c r="J154" s="1355">
        <f>J155+J157+J159</f>
        <v>14235.2</v>
      </c>
      <c r="K154" s="1356">
        <f>K155+K157+K159</f>
        <v>15127.4</v>
      </c>
    </row>
    <row r="155" spans="1:11" ht="45">
      <c r="A155" s="1173" t="s">
        <v>69</v>
      </c>
      <c r="B155" s="1201" t="s">
        <v>55</v>
      </c>
      <c r="C155" s="1131" t="s">
        <v>591</v>
      </c>
      <c r="D155" s="1149" t="s">
        <v>766</v>
      </c>
      <c r="E155" s="1134" t="s">
        <v>53</v>
      </c>
      <c r="F155" s="1266"/>
      <c r="G155" s="1134"/>
      <c r="H155" s="1134"/>
      <c r="I155" s="1455">
        <f>I156</f>
        <v>3469.0159999999996</v>
      </c>
      <c r="J155" s="1351">
        <f>J156</f>
        <v>3628.3</v>
      </c>
      <c r="K155" s="1352">
        <f>K156</f>
        <v>3863.9</v>
      </c>
    </row>
    <row r="156" spans="1:11" ht="45">
      <c r="A156" s="1170" t="s">
        <v>70</v>
      </c>
      <c r="B156" s="1200" t="s">
        <v>732</v>
      </c>
      <c r="C156" s="1109" t="s">
        <v>591</v>
      </c>
      <c r="D156" s="1151" t="s">
        <v>766</v>
      </c>
      <c r="E156" s="1152" t="s">
        <v>53</v>
      </c>
      <c r="F156" s="1269">
        <v>598</v>
      </c>
      <c r="G156" s="1124"/>
      <c r="H156" s="1124"/>
      <c r="I156" s="1458">
        <f>'Бюд.р.'!H541</f>
        <v>3469.0159999999996</v>
      </c>
      <c r="J156" s="1353">
        <f>J14</f>
        <v>3628.3</v>
      </c>
      <c r="K156" s="1354">
        <f>K14</f>
        <v>3863.9</v>
      </c>
    </row>
    <row r="157" spans="1:11" ht="22.5">
      <c r="A157" s="1173" t="s">
        <v>1035</v>
      </c>
      <c r="B157" s="1304" t="s">
        <v>41</v>
      </c>
      <c r="C157" s="1131" t="s">
        <v>591</v>
      </c>
      <c r="D157" s="1149" t="s">
        <v>766</v>
      </c>
      <c r="E157" s="1149" t="s">
        <v>42</v>
      </c>
      <c r="F157" s="1439"/>
      <c r="G157" s="1149"/>
      <c r="H157" s="1149"/>
      <c r="I157" s="1455">
        <f>I158</f>
        <v>8777.5</v>
      </c>
      <c r="J157" s="1351">
        <f>J158</f>
        <v>8312.4</v>
      </c>
      <c r="K157" s="1352">
        <f>K158</f>
        <v>8820</v>
      </c>
    </row>
    <row r="158" spans="1:11" ht="45">
      <c r="A158" s="1172" t="s">
        <v>1036</v>
      </c>
      <c r="B158" s="1305" t="s">
        <v>732</v>
      </c>
      <c r="C158" s="1109" t="s">
        <v>591</v>
      </c>
      <c r="D158" s="1151" t="s">
        <v>766</v>
      </c>
      <c r="E158" s="1148" t="s">
        <v>42</v>
      </c>
      <c r="F158" s="1440">
        <v>598</v>
      </c>
      <c r="G158" s="1151"/>
      <c r="H158" s="1151"/>
      <c r="I158" s="1456">
        <f>'Бюд.р.'!H562</f>
        <v>8777.5</v>
      </c>
      <c r="J158" s="1353">
        <f>J16</f>
        <v>8312.4</v>
      </c>
      <c r="K158" s="1354">
        <f>K16</f>
        <v>8820</v>
      </c>
    </row>
    <row r="159" spans="1:11" ht="33.75">
      <c r="A159" s="1173" t="s">
        <v>1037</v>
      </c>
      <c r="B159" s="1304" t="s">
        <v>555</v>
      </c>
      <c r="C159" s="1131" t="s">
        <v>591</v>
      </c>
      <c r="D159" s="1149" t="s">
        <v>766</v>
      </c>
      <c r="E159" s="1149" t="s">
        <v>43</v>
      </c>
      <c r="F159" s="1439"/>
      <c r="G159" s="1149"/>
      <c r="H159" s="1149"/>
      <c r="I159" s="1455">
        <f>I160</f>
        <v>2893.6</v>
      </c>
      <c r="J159" s="1351">
        <f>J160</f>
        <v>2294.5</v>
      </c>
      <c r="K159" s="1352">
        <f>K160</f>
        <v>2443.5</v>
      </c>
    </row>
    <row r="160" spans="1:11" ht="45.75" thickBot="1">
      <c r="A160" s="1172" t="s">
        <v>1038</v>
      </c>
      <c r="B160" s="1317" t="s">
        <v>732</v>
      </c>
      <c r="C160" s="1141" t="s">
        <v>591</v>
      </c>
      <c r="D160" s="1153" t="s">
        <v>766</v>
      </c>
      <c r="E160" s="1154" t="s">
        <v>43</v>
      </c>
      <c r="F160" s="1441">
        <v>598</v>
      </c>
      <c r="G160" s="1151"/>
      <c r="H160" s="1151"/>
      <c r="I160" s="1465">
        <f>'Бюд.р.'!H567</f>
        <v>2893.6</v>
      </c>
      <c r="J160" s="1353">
        <f>J17</f>
        <v>2294.5</v>
      </c>
      <c r="K160" s="1354">
        <f>K17</f>
        <v>2443.5</v>
      </c>
    </row>
    <row r="161" spans="1:11" ht="57" thickBot="1">
      <c r="A161" s="1175"/>
      <c r="B161" s="1318" t="s">
        <v>807</v>
      </c>
      <c r="C161" s="1249" t="s">
        <v>808</v>
      </c>
      <c r="D161" s="1155"/>
      <c r="E161" s="1156"/>
      <c r="F161" s="1442"/>
      <c r="G161" s="1151"/>
      <c r="H161" s="1151"/>
      <c r="I161" s="1467">
        <f>I162</f>
        <v>0</v>
      </c>
      <c r="J161" s="1357"/>
      <c r="K161" s="1358"/>
    </row>
    <row r="162" spans="1:11" ht="22.5">
      <c r="A162" s="1250" t="s">
        <v>607</v>
      </c>
      <c r="B162" s="1319" t="s">
        <v>102</v>
      </c>
      <c r="C162" s="1251" t="s">
        <v>808</v>
      </c>
      <c r="D162" s="1252" t="s">
        <v>457</v>
      </c>
      <c r="E162" s="1252"/>
      <c r="F162" s="1443"/>
      <c r="G162" s="1489"/>
      <c r="H162" s="1489"/>
      <c r="I162" s="1468">
        <f>I163</f>
        <v>0</v>
      </c>
      <c r="J162" s="1357"/>
      <c r="K162" s="1358"/>
    </row>
    <row r="163" spans="1:11" ht="22.5">
      <c r="A163" s="1246" t="s">
        <v>68</v>
      </c>
      <c r="B163" s="1309" t="s">
        <v>21</v>
      </c>
      <c r="C163" s="1236">
        <v>917</v>
      </c>
      <c r="D163" s="1237" t="s">
        <v>510</v>
      </c>
      <c r="E163" s="1157"/>
      <c r="F163" s="1444"/>
      <c r="G163" s="1490"/>
      <c r="H163" s="1490"/>
      <c r="I163" s="1457">
        <f>I164</f>
        <v>0</v>
      </c>
      <c r="J163" s="1357"/>
      <c r="K163" s="1358"/>
    </row>
    <row r="164" spans="1:11" ht="33.75">
      <c r="A164" s="1173" t="s">
        <v>69</v>
      </c>
      <c r="B164" s="1201" t="s">
        <v>141</v>
      </c>
      <c r="C164" s="1147">
        <v>917</v>
      </c>
      <c r="D164" s="1134" t="s">
        <v>510</v>
      </c>
      <c r="E164" s="1134" t="s">
        <v>142</v>
      </c>
      <c r="F164" s="1440"/>
      <c r="G164" s="1151"/>
      <c r="H164" s="1151"/>
      <c r="I164" s="1455">
        <f>I165</f>
        <v>0</v>
      </c>
      <c r="J164" s="1357"/>
      <c r="K164" s="1358"/>
    </row>
    <row r="165" spans="1:11" ht="23.25" thickBot="1">
      <c r="A165" s="1172" t="s">
        <v>70</v>
      </c>
      <c r="B165" s="1320" t="s">
        <v>415</v>
      </c>
      <c r="C165" s="1158">
        <v>917</v>
      </c>
      <c r="D165" s="1159" t="s">
        <v>510</v>
      </c>
      <c r="E165" s="1159" t="s">
        <v>142</v>
      </c>
      <c r="F165" s="1445"/>
      <c r="G165" s="1223"/>
      <c r="H165" s="1223"/>
      <c r="I165" s="1465">
        <v>0</v>
      </c>
      <c r="J165" s="1357"/>
      <c r="K165" s="1358"/>
    </row>
    <row r="166" spans="1:11" ht="23.25" thickBot="1">
      <c r="A166" s="1253" t="s">
        <v>831</v>
      </c>
      <c r="B166" s="1321" t="s">
        <v>821</v>
      </c>
      <c r="C166" s="1254">
        <v>968</v>
      </c>
      <c r="D166" s="1255">
        <v>1100</v>
      </c>
      <c r="E166" s="1255"/>
      <c r="F166" s="1446"/>
      <c r="G166" s="1491"/>
      <c r="H166" s="1491"/>
      <c r="I166" s="1469">
        <f aca="true" t="shared" si="7" ref="I166:K168">I167</f>
        <v>3380.6850000000004</v>
      </c>
      <c r="J166" s="1373">
        <f t="shared" si="7"/>
        <v>3549.7192500000006</v>
      </c>
      <c r="K166" s="1374">
        <f t="shared" si="7"/>
        <v>3727.205212500001</v>
      </c>
    </row>
    <row r="167" spans="1:11" ht="12.75">
      <c r="A167" s="1264" t="s">
        <v>906</v>
      </c>
      <c r="B167" s="1322" t="s">
        <v>822</v>
      </c>
      <c r="C167" s="1256">
        <v>968</v>
      </c>
      <c r="D167" s="1257">
        <v>1102</v>
      </c>
      <c r="E167" s="1257"/>
      <c r="F167" s="1265"/>
      <c r="G167" s="1492"/>
      <c r="H167" s="1492"/>
      <c r="I167" s="1470">
        <f t="shared" si="7"/>
        <v>3380.6850000000004</v>
      </c>
      <c r="J167" s="1375">
        <f t="shared" si="7"/>
        <v>3549.7192500000006</v>
      </c>
      <c r="K167" s="1376">
        <f t="shared" si="7"/>
        <v>3727.205212500001</v>
      </c>
    </row>
    <row r="168" spans="1:11" ht="67.5">
      <c r="A168" s="1173" t="s">
        <v>907</v>
      </c>
      <c r="B168" s="1201" t="s">
        <v>647</v>
      </c>
      <c r="C168" s="1147">
        <v>968</v>
      </c>
      <c r="D168" s="1134">
        <v>1102</v>
      </c>
      <c r="E168" s="1134" t="str">
        <f>E169</f>
        <v>487 01 00</v>
      </c>
      <c r="F168" s="1266"/>
      <c r="G168" s="1134"/>
      <c r="H168" s="1134"/>
      <c r="I168" s="1455">
        <f t="shared" si="7"/>
        <v>3380.6850000000004</v>
      </c>
      <c r="J168" s="1351">
        <f t="shared" si="7"/>
        <v>3549.7192500000006</v>
      </c>
      <c r="K168" s="1352">
        <f t="shared" si="7"/>
        <v>3727.205212500001</v>
      </c>
    </row>
    <row r="169" spans="1:11" ht="22.5">
      <c r="A169" s="1170" t="s">
        <v>908</v>
      </c>
      <c r="B169" s="1323" t="str">
        <f>'Бюд.р.'!A582</f>
        <v>Иные закупки товаров, работ и услуг для муниципальных нужд</v>
      </c>
      <c r="C169" s="1124">
        <v>968</v>
      </c>
      <c r="D169" s="1124">
        <v>1102</v>
      </c>
      <c r="E169" s="1124" t="s">
        <v>943</v>
      </c>
      <c r="F169" s="1269">
        <f>'Бюд.р.'!F582</f>
        <v>240</v>
      </c>
      <c r="G169" s="1124"/>
      <c r="H169" s="1124"/>
      <c r="I169" s="1458">
        <f>SUM(I170:I171)</f>
        <v>3380.6850000000004</v>
      </c>
      <c r="J169" s="1377">
        <f>SUM(J170:J171)</f>
        <v>3549.7192500000006</v>
      </c>
      <c r="K169" s="1378">
        <f>SUM(K170:K171)</f>
        <v>3727.205212500001</v>
      </c>
    </row>
    <row r="170" spans="1:11" ht="33.75">
      <c r="A170" s="1170" t="s">
        <v>185</v>
      </c>
      <c r="B170" s="1323" t="str">
        <f>'Бюд.р.'!A583</f>
        <v>Закупка товаров, работ, услуг в сфере информационно-коммуникационных технологий</v>
      </c>
      <c r="C170" s="1124">
        <v>968</v>
      </c>
      <c r="D170" s="1124">
        <v>1102</v>
      </c>
      <c r="E170" s="1124" t="s">
        <v>943</v>
      </c>
      <c r="F170" s="1269">
        <f>'Бюд.р.'!F583</f>
        <v>242</v>
      </c>
      <c r="G170" s="1124"/>
      <c r="H170" s="1124"/>
      <c r="I170" s="1458">
        <f>'Бюд.р.'!H583</f>
        <v>0</v>
      </c>
      <c r="J170" s="1353">
        <f>I170*1.05</f>
        <v>0</v>
      </c>
      <c r="K170" s="1354">
        <f>J170*1.05</f>
        <v>0</v>
      </c>
    </row>
    <row r="171" spans="1:11" ht="23.25" thickBot="1">
      <c r="A171" s="1262" t="s">
        <v>186</v>
      </c>
      <c r="B171" s="1323" t="str">
        <f>'Бюд.р.'!A586</f>
        <v>Прочая закупка товаров, работ и услуг для муниципальных нужд</v>
      </c>
      <c r="C171" s="1124">
        <v>968</v>
      </c>
      <c r="D171" s="1124">
        <v>1102</v>
      </c>
      <c r="E171" s="1124" t="s">
        <v>943</v>
      </c>
      <c r="F171" s="1269">
        <f>'Бюд.р.'!F586</f>
        <v>244</v>
      </c>
      <c r="G171" s="1124"/>
      <c r="H171" s="1124"/>
      <c r="I171" s="1471">
        <f>'Бюд.р.'!H586</f>
        <v>3380.6850000000004</v>
      </c>
      <c r="J171" s="1353">
        <f>I171*1.05</f>
        <v>3549.7192500000006</v>
      </c>
      <c r="K171" s="1354">
        <f>J171*1.05</f>
        <v>3727.205212500001</v>
      </c>
    </row>
    <row r="172" spans="1:11" ht="23.25" thickBot="1">
      <c r="A172" s="1263" t="s">
        <v>832</v>
      </c>
      <c r="B172" s="1324" t="s">
        <v>823</v>
      </c>
      <c r="C172" s="1267">
        <v>968</v>
      </c>
      <c r="D172" s="1268">
        <v>1200</v>
      </c>
      <c r="E172" s="1268"/>
      <c r="F172" s="1447"/>
      <c r="G172" s="1491"/>
      <c r="H172" s="1491"/>
      <c r="I172" s="1472">
        <f aca="true" t="shared" si="8" ref="I172:K174">I173</f>
        <v>1464.75</v>
      </c>
      <c r="J172" s="1379">
        <f t="shared" si="8"/>
        <v>1537.9875</v>
      </c>
      <c r="K172" s="1380">
        <f t="shared" si="8"/>
        <v>1614.886875</v>
      </c>
    </row>
    <row r="173" spans="1:11" ht="22.5">
      <c r="A173" s="1218" t="s">
        <v>995</v>
      </c>
      <c r="B173" s="1325" t="s">
        <v>642</v>
      </c>
      <c r="C173" s="1219">
        <v>968</v>
      </c>
      <c r="D173" s="1220">
        <v>1202</v>
      </c>
      <c r="E173" s="1220"/>
      <c r="F173" s="1448"/>
      <c r="G173" s="1492"/>
      <c r="H173" s="1492"/>
      <c r="I173" s="1473">
        <f t="shared" si="8"/>
        <v>1464.75</v>
      </c>
      <c r="J173" s="1381">
        <f t="shared" si="8"/>
        <v>1537.9875</v>
      </c>
      <c r="K173" s="1382">
        <f t="shared" si="8"/>
        <v>1614.886875</v>
      </c>
    </row>
    <row r="174" spans="1:11" ht="33.75">
      <c r="A174" s="1221" t="s">
        <v>996</v>
      </c>
      <c r="B174" s="1199" t="s">
        <v>964</v>
      </c>
      <c r="C174" s="1214">
        <v>968</v>
      </c>
      <c r="D174" s="1215">
        <v>1202</v>
      </c>
      <c r="E174" s="1215" t="s">
        <v>646</v>
      </c>
      <c r="F174" s="1418"/>
      <c r="G174" s="1215"/>
      <c r="H174" s="1215"/>
      <c r="I174" s="1461">
        <f t="shared" si="8"/>
        <v>1464.75</v>
      </c>
      <c r="J174" s="1363">
        <f t="shared" si="8"/>
        <v>1537.9875</v>
      </c>
      <c r="K174" s="1364">
        <f t="shared" si="8"/>
        <v>1614.886875</v>
      </c>
    </row>
    <row r="175" spans="1:11" ht="23.25" thickBot="1">
      <c r="A175" s="1174" t="s">
        <v>997</v>
      </c>
      <c r="B175" s="1326" t="str">
        <f>'Бюд.р.'!A596</f>
        <v>Прочая закупка товаров, работ и услуг для муниципальных нужд</v>
      </c>
      <c r="C175" s="1327">
        <v>968</v>
      </c>
      <c r="D175" s="1328">
        <v>1202</v>
      </c>
      <c r="E175" s="1328" t="s">
        <v>646</v>
      </c>
      <c r="F175" s="1449">
        <f>'Бюд.р.'!F596</f>
        <v>244</v>
      </c>
      <c r="G175" s="1124"/>
      <c r="H175" s="1124"/>
      <c r="I175" s="1471">
        <f>'Бюд.р.'!H596</f>
        <v>1464.75</v>
      </c>
      <c r="J175" s="1383">
        <f>I175*1.05</f>
        <v>1537.9875</v>
      </c>
      <c r="K175" s="1384">
        <f>J175*1.05</f>
        <v>1614.886875</v>
      </c>
    </row>
    <row r="176" spans="1:11" ht="13.5" thickBot="1">
      <c r="A176" s="1175"/>
      <c r="B176" s="1293" t="s">
        <v>294</v>
      </c>
      <c r="C176" s="1294"/>
      <c r="D176" s="1295"/>
      <c r="E176" s="1296"/>
      <c r="F176" s="1297"/>
      <c r="G176" s="1400"/>
      <c r="H176" s="1400"/>
      <c r="I176" s="1298" t="e">
        <f>I21+I36</f>
        <v>#REF!</v>
      </c>
      <c r="J176" s="833"/>
      <c r="K176" s="833"/>
    </row>
    <row r="177" spans="1:11" ht="16.5" thickBot="1">
      <c r="A177" s="1274"/>
      <c r="B177" s="3290" t="s">
        <v>1048</v>
      </c>
      <c r="C177" s="3291"/>
      <c r="D177" s="3291"/>
      <c r="E177" s="3291"/>
      <c r="F177" s="3292"/>
      <c r="G177" s="1401"/>
      <c r="H177" s="1401"/>
      <c r="I177" s="1278" t="e">
        <f>I9-I18</f>
        <v>#VALUE!</v>
      </c>
      <c r="J177" s="1385" t="e">
        <f>J9-J18</f>
        <v>#VALUE!</v>
      </c>
      <c r="K177" s="1386" t="e">
        <f>K9-K18</f>
        <v>#VALUE!</v>
      </c>
    </row>
    <row r="178" spans="2:11" ht="15.75">
      <c r="B178" s="3293" t="s">
        <v>1059</v>
      </c>
      <c r="C178" s="3294"/>
      <c r="D178" s="3294"/>
      <c r="E178" s="3294"/>
      <c r="F178" s="3295"/>
      <c r="G178" s="1402"/>
      <c r="H178" s="1402"/>
      <c r="I178" s="1279" t="e">
        <f>I177/(I10+I11)</f>
        <v>#VALUE!</v>
      </c>
      <c r="J178" s="1387" t="e">
        <f>J177/(J10+J11)</f>
        <v>#VALUE!</v>
      </c>
      <c r="K178" s="1388" t="e">
        <f>K177/(K10+K11)</f>
        <v>#VALUE!</v>
      </c>
    </row>
    <row r="179" spans="2:11" ht="15.75">
      <c r="B179" s="3296" t="s">
        <v>1057</v>
      </c>
      <c r="C179" s="3297"/>
      <c r="D179" s="3297"/>
      <c r="E179" s="3297"/>
      <c r="F179" s="3298"/>
      <c r="G179" s="1403"/>
      <c r="H179" s="1403"/>
      <c r="I179" s="1280">
        <v>0</v>
      </c>
      <c r="J179" s="1337">
        <v>0</v>
      </c>
      <c r="K179" s="1338">
        <v>0</v>
      </c>
    </row>
    <row r="180" spans="2:11" ht="15.75">
      <c r="B180" s="3299" t="s">
        <v>1049</v>
      </c>
      <c r="C180" s="3300"/>
      <c r="D180" s="3300"/>
      <c r="E180" s="3300"/>
      <c r="F180" s="3301"/>
      <c r="G180" s="1404"/>
      <c r="H180" s="1404"/>
      <c r="I180" s="1281" t="s">
        <v>1052</v>
      </c>
      <c r="J180" s="1389" t="s">
        <v>1053</v>
      </c>
      <c r="K180" s="1390" t="s">
        <v>1054</v>
      </c>
    </row>
    <row r="181" spans="2:11" ht="15.75">
      <c r="B181" s="3282" t="str">
        <f>'ДОХ.Пр.1'!D13</f>
        <v>Налог, взимаемый в связи с применением упрощенной системы налогообложения</v>
      </c>
      <c r="C181" s="3283"/>
      <c r="D181" s="3283"/>
      <c r="E181" s="3283"/>
      <c r="F181" s="3284"/>
      <c r="G181" s="1405"/>
      <c r="H181" s="1405"/>
      <c r="I181" s="1280">
        <v>10</v>
      </c>
      <c r="J181" s="1337">
        <v>10</v>
      </c>
      <c r="K181" s="1338">
        <v>10</v>
      </c>
    </row>
    <row r="182" spans="2:11" ht="15.75">
      <c r="B182" s="3282" t="str">
        <f>'ДОХ.Пр.1'!D22</f>
        <v>Единый налог на вмененный доход для отдельных видов деятельности</v>
      </c>
      <c r="C182" s="3283"/>
      <c r="D182" s="3283"/>
      <c r="E182" s="3283"/>
      <c r="F182" s="3284"/>
      <c r="G182" s="1405"/>
      <c r="H182" s="1405"/>
      <c r="I182" s="1280">
        <v>45</v>
      </c>
      <c r="J182" s="1337">
        <v>45</v>
      </c>
      <c r="K182" s="1338">
        <v>45</v>
      </c>
    </row>
    <row r="183" spans="2:11" ht="15.75">
      <c r="B183" s="3282" t="str">
        <f>'ДОХ.Пр.1'!D28</f>
        <v>Налог на имущество физических лиц</v>
      </c>
      <c r="C183" s="3283"/>
      <c r="D183" s="3283"/>
      <c r="E183" s="3283"/>
      <c r="F183" s="3284"/>
      <c r="G183" s="1405"/>
      <c r="H183" s="1405"/>
      <c r="I183" s="1280">
        <v>100</v>
      </c>
      <c r="J183" s="1337">
        <v>100</v>
      </c>
      <c r="K183" s="1338">
        <v>100</v>
      </c>
    </row>
    <row r="184" spans="2:11" ht="16.5" thickBot="1">
      <c r="B184" s="3285" t="s">
        <v>1056</v>
      </c>
      <c r="C184" s="3286"/>
      <c r="D184" s="3286"/>
      <c r="E184" s="3286"/>
      <c r="F184" s="3287"/>
      <c r="G184" s="1406"/>
      <c r="H184" s="1406"/>
      <c r="I184" s="1282">
        <v>100</v>
      </c>
      <c r="J184" s="1391">
        <v>100</v>
      </c>
      <c r="K184" s="1392">
        <v>100</v>
      </c>
    </row>
    <row r="185" ht="15.75">
      <c r="B185" s="808" t="s">
        <v>170</v>
      </c>
    </row>
    <row r="187" spans="2:11" ht="15.75">
      <c r="B187" s="3242" t="s">
        <v>1058</v>
      </c>
      <c r="C187" s="3242"/>
      <c r="D187" s="3242"/>
      <c r="E187" s="3242"/>
      <c r="F187" s="3242"/>
      <c r="G187" s="3242"/>
      <c r="H187" s="3242"/>
      <c r="I187" s="3242"/>
      <c r="J187" s="3242"/>
      <c r="K187" s="3242"/>
    </row>
  </sheetData>
  <sheetProtection/>
  <mergeCells count="28">
    <mergeCell ref="B1:K1"/>
    <mergeCell ref="B2:K2"/>
    <mergeCell ref="B3:K3"/>
    <mergeCell ref="B4:K4"/>
    <mergeCell ref="A5:I5"/>
    <mergeCell ref="A6:I6"/>
    <mergeCell ref="A7:I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83:F183"/>
    <mergeCell ref="B184:F184"/>
    <mergeCell ref="B187:K187"/>
    <mergeCell ref="G18:H18"/>
    <mergeCell ref="B177:F177"/>
    <mergeCell ref="B178:F178"/>
    <mergeCell ref="B179:F179"/>
    <mergeCell ref="B180:F180"/>
    <mergeCell ref="B181:F181"/>
    <mergeCell ref="B182:F18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55"/>
  <sheetViews>
    <sheetView zoomScale="78" zoomScaleNormal="78" zoomScalePageLayoutView="0" workbookViewId="0" topLeftCell="A41">
      <selection activeCell="B49" sqref="B49"/>
    </sheetView>
  </sheetViews>
  <sheetFormatPr defaultColWidth="9.00390625" defaultRowHeight="12.75"/>
  <cols>
    <col min="1" max="1" width="6.375" style="0" customWidth="1"/>
    <col min="2" max="2" width="113.75390625" style="0" customWidth="1"/>
    <col min="3" max="3" width="13.125" style="0" customWidth="1"/>
    <col min="4" max="6" width="0" style="0" hidden="1" customWidth="1"/>
  </cols>
  <sheetData>
    <row r="1" spans="1:6" ht="15">
      <c r="A1" s="3322" t="s">
        <v>1255</v>
      </c>
      <c r="B1" s="3322"/>
      <c r="C1" s="3322"/>
      <c r="D1" s="3322"/>
      <c r="E1" s="3322"/>
      <c r="F1" s="3322"/>
    </row>
    <row r="2" spans="1:6" ht="15">
      <c r="A2" s="3322" t="s">
        <v>1042</v>
      </c>
      <c r="B2" s="3322"/>
      <c r="C2" s="3322"/>
      <c r="D2" s="3322"/>
      <c r="E2" s="3322"/>
      <c r="F2" s="3322"/>
    </row>
    <row r="3" spans="1:6" ht="15">
      <c r="A3" s="1705"/>
      <c r="B3" s="3322" t="s">
        <v>1311</v>
      </c>
      <c r="C3" s="3322"/>
      <c r="D3" s="3322"/>
      <c r="E3" s="3322"/>
      <c r="F3" s="3322"/>
    </row>
    <row r="4" spans="1:6" ht="15" hidden="1">
      <c r="A4" s="1705"/>
      <c r="B4" s="3322" t="s">
        <v>1256</v>
      </c>
      <c r="C4" s="3322"/>
      <c r="D4" s="2111"/>
      <c r="E4" s="2111"/>
      <c r="F4" s="2111"/>
    </row>
    <row r="5" spans="1:6" ht="37.5" customHeight="1" thickBot="1">
      <c r="A5" s="3321" t="s">
        <v>1273</v>
      </c>
      <c r="B5" s="3321"/>
      <c r="C5" s="3321"/>
      <c r="D5" s="3321"/>
      <c r="E5" s="3321"/>
      <c r="F5" s="3321"/>
    </row>
    <row r="6" spans="1:6" ht="36.75" thickBot="1">
      <c r="A6" s="1732" t="s">
        <v>1124</v>
      </c>
      <c r="B6" s="1739" t="s">
        <v>219</v>
      </c>
      <c r="C6" s="1739" t="s">
        <v>230</v>
      </c>
      <c r="D6" s="1713" t="s">
        <v>101</v>
      </c>
      <c r="E6" s="1202" t="s">
        <v>231</v>
      </c>
      <c r="F6" s="200" t="s">
        <v>268</v>
      </c>
    </row>
    <row r="7" spans="1:6" ht="12.75">
      <c r="A7" s="1475" t="s">
        <v>678</v>
      </c>
      <c r="B7" s="1475">
        <v>2</v>
      </c>
      <c r="C7" s="1475" t="s">
        <v>472</v>
      </c>
      <c r="D7" s="1714" t="s">
        <v>296</v>
      </c>
      <c r="E7" s="1046" t="s">
        <v>296</v>
      </c>
      <c r="F7" s="273">
        <v>7</v>
      </c>
    </row>
    <row r="8" spans="1:6" ht="15">
      <c r="A8" s="1711" t="s">
        <v>678</v>
      </c>
      <c r="B8" s="1707" t="s">
        <v>1125</v>
      </c>
      <c r="C8" s="1706" t="str">
        <f>'Бюд.р.'!D60</f>
        <v>002  01 00</v>
      </c>
      <c r="D8" s="1717">
        <f>'Бюд.р.'!E7</f>
        <v>0</v>
      </c>
      <c r="E8" s="1112"/>
      <c r="F8" s="1190">
        <f>'Бюд.р.'!G7</f>
        <v>0</v>
      </c>
    </row>
    <row r="9" spans="1:6" ht="15.75" customHeight="1">
      <c r="A9" s="1711" t="s">
        <v>768</v>
      </c>
      <c r="B9" s="1709" t="str">
        <f>'Бюд.р.'!A67</f>
        <v>ДЕПУТАТЫ ПРЕДСТАВИТЕЛЬНОГО ОРГАНА МУНИЦИПАЛЬНОГО ОБРАЗОВАНИЯ</v>
      </c>
      <c r="C9" s="1706" t="str">
        <f>'Бюд.р.'!D67</f>
        <v>002  03 00</v>
      </c>
      <c r="D9" s="1718">
        <f>'Бюд.р.'!E9</f>
        <v>0</v>
      </c>
      <c r="E9" s="1110"/>
      <c r="F9" s="1553">
        <f>'Бюд.р.'!G9</f>
        <v>0</v>
      </c>
    </row>
    <row r="10" spans="1:6" ht="15">
      <c r="A10" s="1711" t="s">
        <v>472</v>
      </c>
      <c r="B10" s="1709" t="str">
        <f>'Бюд.р.'!A68</f>
        <v>ДЕПУТАТЫ, ОСУЩЕСТВЛЯЮЩИЕ СВОЮ ДЕЯТЕЛЬНОСТЬ НА ПОСТОЯННОЙ ОСНОВЕ</v>
      </c>
      <c r="C10" s="1706" t="str">
        <f>'Бюд.р.'!D68</f>
        <v>002  03 01</v>
      </c>
      <c r="D10" s="1719"/>
      <c r="E10" s="1554"/>
      <c r="F10" s="1555">
        <f>F11</f>
        <v>225</v>
      </c>
    </row>
    <row r="11" spans="1:6" ht="16.5" customHeight="1">
      <c r="A11" s="1711" t="s">
        <v>614</v>
      </c>
      <c r="B11" s="1709" t="str">
        <f>'Бюд.р.'!A77</f>
        <v>КОМПЕСАЦИЯ  ДЕПУТАТАМ, ОСУЩЕСТВЛЯЮЩИМ СВОИ ПОЛНОМОЧИЯ НА НЕПОСТОЯННОЙ ОСНОВЕ</v>
      </c>
      <c r="C11" s="1706" t="str">
        <f>'Бюд.р.'!D77</f>
        <v>002  03 02</v>
      </c>
      <c r="D11" s="1718">
        <f>'Бюд.р.'!E21</f>
        <v>500</v>
      </c>
      <c r="E11" s="1110"/>
      <c r="F11" s="1553">
        <f>'Бюд.р.'!G21</f>
        <v>225</v>
      </c>
    </row>
    <row r="12" spans="1:6" ht="15.75" thickBot="1">
      <c r="A12" s="1711" t="s">
        <v>295</v>
      </c>
      <c r="B12" s="1709" t="str">
        <f>'Бюд.р.'!A82</f>
        <v>АППАРАТ ПРЕДСТАВИТЕЛЬНОГО ОРГАНА МУНИЦИПАЛЬНОГО ОБРАЗОВАНИЯ</v>
      </c>
      <c r="C12" s="1706" t="str">
        <f>'Бюд.р.'!D82</f>
        <v>002  04 00</v>
      </c>
      <c r="D12" s="1720"/>
      <c r="E12" s="1580"/>
      <c r="F12" s="1581" t="e">
        <f>#REF!+#REF!</f>
        <v>#REF!</v>
      </c>
    </row>
    <row r="13" spans="1:6" ht="15">
      <c r="A13" s="1711" t="s">
        <v>296</v>
      </c>
      <c r="B13" s="1709" t="str">
        <f>'Бюд.р.'!A158</f>
        <v>ГЛАВА МЕСТНОЙ АДМИНИСТРАЦИИ</v>
      </c>
      <c r="C13" s="1706" t="str">
        <f>'Бюд.р.'!D158</f>
        <v>002  05 00</v>
      </c>
      <c r="D13" s="1721" t="s">
        <v>721</v>
      </c>
      <c r="E13" s="1114" t="s">
        <v>241</v>
      </c>
      <c r="F13" s="1191"/>
    </row>
    <row r="14" spans="1:6" ht="16.5" customHeight="1">
      <c r="A14" s="1711" t="s">
        <v>297</v>
      </c>
      <c r="B14" s="1709" t="str">
        <f>'Бюд.р.'!A165</f>
        <v>СОДЕРЖАНИЕ И ОБЕСПЕЧЕНИЕ ДЕЯТЕЛЬНОСТИ МЕСТНОЙ АДМИНИСТРАЦИИ ПО РЕШЕНИЮ ВОПРОСОВ МЕСТНОГО ЗНАЧЕНИЯ</v>
      </c>
      <c r="C14" s="1706" t="str">
        <f>'Бюд.р.'!D165</f>
        <v>002  06 01</v>
      </c>
      <c r="D14" s="1722" t="s">
        <v>721</v>
      </c>
      <c r="E14" s="1117" t="s">
        <v>251</v>
      </c>
      <c r="F14" s="1191"/>
    </row>
    <row r="15" spans="1:6" ht="27" customHeight="1">
      <c r="A15" s="1711" t="s">
        <v>740</v>
      </c>
      <c r="B15" s="1707" t="str">
        <f>'Бюд.р.'!A215</f>
        <v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v>
      </c>
      <c r="C15" s="1706" t="str">
        <f>'Бюд.р.'!D215</f>
        <v>002  80 10</v>
      </c>
      <c r="D15" s="1723"/>
      <c r="E15" s="1119"/>
      <c r="F15" s="1191"/>
    </row>
    <row r="16" spans="1:6" ht="30" customHeight="1">
      <c r="A16" s="1711" t="s">
        <v>371</v>
      </c>
      <c r="B16" s="1707" t="str">
        <f>'Бюд.р.'!A539</f>
        <v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v>
      </c>
      <c r="C16" s="1706" t="str">
        <f>'Бюд.р.'!D539</f>
        <v>002 80 31</v>
      </c>
      <c r="D16" s="1723"/>
      <c r="E16" s="1119"/>
      <c r="F16" s="1191"/>
    </row>
    <row r="17" spans="1:6" ht="15">
      <c r="A17" s="1711" t="s">
        <v>372</v>
      </c>
      <c r="B17" s="1707" t="str">
        <f>'Бюд.р.'!A228</f>
        <v>Резервный фонд местной администрации</v>
      </c>
      <c r="C17" s="1706" t="str">
        <f>'Бюд.р.'!D228</f>
        <v>070 01 01</v>
      </c>
      <c r="D17" s="1724"/>
      <c r="E17" s="1104"/>
      <c r="F17" s="1188" t="e">
        <f>F18+#REF!</f>
        <v>#REF!</v>
      </c>
    </row>
    <row r="18" spans="1:6" ht="19.5" customHeight="1">
      <c r="A18" s="1711" t="s">
        <v>94</v>
      </c>
      <c r="B18" s="1709" t="str">
        <f>'Бюд.р.'!A234</f>
        <v>ФОРМИРОВАНИЕ АРХИВНЫХ ФОНДОВ ОРГАНОВ МЕСТНОГО САМОУПРАВЛЕНИЯ,МУНИЦИПАЛЬНЫХ ПРЕДПРИЯТИЙ И УЧРЕЖДЕНИЙ</v>
      </c>
      <c r="C18" s="1706" t="str">
        <f>'Бюд.р.'!D234</f>
        <v>090 01 00</v>
      </c>
      <c r="D18" s="1725"/>
      <c r="E18" s="1108"/>
      <c r="F18" s="1192" t="e">
        <f>#REF!+#REF!</f>
        <v>#REF!</v>
      </c>
    </row>
    <row r="19" spans="1:6" ht="17.25" customHeight="1">
      <c r="A19" s="1711" t="s">
        <v>5</v>
      </c>
      <c r="B19" s="1733" t="str">
        <f>'Бюд.р.'!A247</f>
        <v>РАСХОДЫ НА ОСУЩЕСТВЛЕНИЕ ЗАКУПОК ТОВАРОВ, РАБОТ, УСЛУГ ДЛЯ ОБЕСПЕЧЕНИЯ МУНИЦИПАЛЬНЫХ НУЖД</v>
      </c>
      <c r="C19" s="1706" t="str">
        <f>'Бюд.р.'!D247</f>
        <v>092 02 00</v>
      </c>
      <c r="D19" s="1726">
        <f>'Бюд.р.'!E64</f>
        <v>500</v>
      </c>
      <c r="E19" s="1125"/>
      <c r="F19" s="1194">
        <f>'Бюд.р.'!G64</f>
        <v>211</v>
      </c>
    </row>
    <row r="20" spans="1:6" ht="28.5" customHeight="1">
      <c r="A20" s="1711" t="s">
        <v>503</v>
      </c>
      <c r="B20" s="1734" t="str">
        <f>'Бюд.р.'!A108</f>
        <v>УПЛАТА ЧЛЕНСКИХ ВЗНОСОВ НА ОСУЩЕСТВЛЕНИЕ ДЕЯТЕЛЬНОСТИ СОВЕТА МУНИЦИПАЛЬНЫХ ОБРАЗОВАНИЙ САНКТ-ПЕТЕРБУРГА И СОДЕРЖАНИЕ ЕГО ОРГАНОВ</v>
      </c>
      <c r="C20" s="1706" t="str">
        <f>'Бюд.р.'!D108</f>
        <v>092 05 00</v>
      </c>
      <c r="D20" s="1715"/>
      <c r="E20" s="1143"/>
      <c r="F20" s="1195" t="e">
        <f>F21+#REF!</f>
        <v>#REF!</v>
      </c>
    </row>
    <row r="21" spans="1:6" ht="26.25" customHeight="1">
      <c r="A21" s="1711" t="s">
        <v>504</v>
      </c>
      <c r="B21" s="1709" t="str">
        <f>'Бюд.р.'!A257</f>
        <v>ОРГАНИЗАЦИЯ ИНФОРМИРОВАНИЯ,КОНСУЛЬТИРОВАНИЯ И СОДЕЙСТВИЯ ЖИТЕЛЯМ МУНИЦИПАЛЬНОГО ОБРАЗОВАНИЯ ПО ВОПРОСАМ СОЗДАНИЯ ТСЖ, ФОРМИРОВАНИЯ ЗЕМЕЛЬНЫХ УЧАСТКОВ, НА КОТОРЫХ РАСПОЛОЖЕНЫ МНОГОКВАРТИРНЫЕ ДОМА</v>
      </c>
      <c r="C21" s="1706" t="str">
        <f>'Бюд.р.'!D257</f>
        <v>092 06 00</v>
      </c>
      <c r="D21" s="1727"/>
      <c r="E21" s="1130"/>
      <c r="F21" s="1192">
        <f>F22</f>
        <v>6</v>
      </c>
    </row>
    <row r="22" spans="1:6" ht="15">
      <c r="A22" s="1711" t="s">
        <v>30</v>
      </c>
      <c r="B22" s="1709" t="str">
        <f>'Бюд.р.'!A262</f>
        <v>РАСХОДЫ НА ПОДДЕРЖАНИЕ САЙТА МО МО ОЗЕРО ДОЛГОЕ</v>
      </c>
      <c r="C22" s="1706" t="str">
        <f>'Бюд.р.'!D262</f>
        <v>092 08 00</v>
      </c>
      <c r="D22" s="1717">
        <f>'Бюд.р.'!E154</f>
        <v>5</v>
      </c>
      <c r="E22" s="1130"/>
      <c r="F22" s="1194">
        <f>'Бюд.р.'!G154</f>
        <v>6</v>
      </c>
    </row>
    <row r="23" spans="1:6" ht="18.75" customHeight="1">
      <c r="A23" s="1711" t="s">
        <v>68</v>
      </c>
      <c r="B23" s="1709" t="str">
        <f>'Бюд.р.'!A268</f>
        <v>РАСХОДЫ НА ОСУЩЕСТВЛЕНИЕ ЗАЩИТЫ ПРАВ ПОТРЕБИТЕЛЕЙ</v>
      </c>
      <c r="C23" s="1706" t="str">
        <f>'Бюд.р.'!D268</f>
        <v>092 10 00</v>
      </c>
      <c r="D23" s="1728"/>
      <c r="E23" s="1123"/>
      <c r="F23" s="1193"/>
    </row>
    <row r="24" spans="1:6" ht="21" customHeight="1">
      <c r="A24" s="1711" t="s">
        <v>906</v>
      </c>
      <c r="B24" s="1733" t="str">
        <f>'Бюд.р.'!A439</f>
        <v>УЧАСТИЕ В МЕРОПРИЯТИЯХ ПО ОХРАНЕ ОКРУЖАЮЩЕЙ СРЕДЫ В ГРАНИЦАХ МУНИЦИПАЛЬНОГО ОБРАЗОВАНИЯ</v>
      </c>
      <c r="C24" s="1706" t="str">
        <f>'Бюд.р.'!D439</f>
        <v>410 01 00</v>
      </c>
      <c r="D24" s="1726">
        <f>'Бюд.р.'!E168</f>
        <v>500</v>
      </c>
      <c r="E24" s="1133"/>
      <c r="F24" s="1194">
        <f>'Бюд.р.'!G168</f>
        <v>200</v>
      </c>
    </row>
    <row r="25" spans="1:6" ht="27" customHeight="1">
      <c r="A25" s="1711" t="s">
        <v>995</v>
      </c>
      <c r="B25" s="1733" t="str">
        <f>'Бюд.р.'!A447</f>
        <v>Расходы на организацию профессионального образования и дополнительного профессионального образования для выборных должностных лиц местного самоуправления </v>
      </c>
      <c r="C25" s="1706" t="str">
        <f>'Бюд.р.'!D447</f>
        <v>428 01 01</v>
      </c>
      <c r="D25" s="1726"/>
      <c r="E25" s="1133"/>
      <c r="F25" s="1194"/>
    </row>
    <row r="26" spans="1:6" ht="18" customHeight="1">
      <c r="A26" s="1711" t="s">
        <v>1101</v>
      </c>
      <c r="B26" s="1733" t="str">
        <f>'Бюд.р.'!A452</f>
        <v>Расходы на организацию профессионального образования и дополнительного профессионального образования для  муниципальных служащих  </v>
      </c>
      <c r="C26" s="1706" t="str">
        <f>'Бюд.р.'!D452</f>
        <v>428 01 02</v>
      </c>
      <c r="D26" s="1726"/>
      <c r="E26" s="1133"/>
      <c r="F26" s="1194"/>
    </row>
    <row r="27" spans="1:6" ht="15">
      <c r="A27" s="1711" t="s">
        <v>1312</v>
      </c>
      <c r="B27" s="1733" t="str">
        <f>'Бюд.р.'!A594</f>
        <v>ОПУБЛИКОВАНИЕ МУНИЦИПАЛЬНЫХ ПРАВОВЫХ АКТОВ, ИНОЙ ИНФОРМАЦИИ </v>
      </c>
      <c r="C27" s="1706" t="str">
        <f>'Бюд.р.'!D594</f>
        <v>457 03 00</v>
      </c>
      <c r="D27" s="1726">
        <f>'Бюд.р.'!E207</f>
        <v>0</v>
      </c>
      <c r="E27" s="1133"/>
      <c r="F27" s="1194">
        <f>'Бюд.р.'!G207</f>
        <v>0</v>
      </c>
    </row>
    <row r="28" spans="1:6" ht="26.25" customHeight="1">
      <c r="A28" s="1711" t="s">
        <v>1126</v>
      </c>
      <c r="B28" s="1733" t="str">
        <f>'Бюд.р.'!A533</f>
        <v>РАСХОДЫ НА ПРЕДОСТАВЛЕНИЕ ДОПЛАТ К ПЕНСИИ ЛИЦАМ, ЗАМЕЩАВШИМ МУНИЦИПАЛЬНЫЕ ДОЛЖНОСТИ И ДОЛЖНОСТИ МУНИЦИПАЛЬНОЙ СЛУЖБЫ</v>
      </c>
      <c r="C28" s="1706" t="str">
        <f>'Бюд.р.'!D533</f>
        <v>505 01 00</v>
      </c>
      <c r="D28" s="1725"/>
      <c r="E28" s="1135"/>
      <c r="F28" s="1193">
        <f>F30</f>
        <v>300</v>
      </c>
    </row>
    <row r="29" spans="1:6" ht="18" customHeight="1">
      <c r="A29" s="1711" t="s">
        <v>1127</v>
      </c>
      <c r="B29" s="1733" t="str">
        <f>'Бюд.р.'!A317</f>
        <v>ВРЕМЕННОЕ ТРУДОУСТРОЙСТВО НЕСОВЕРШЕННОЛЕТНИХ В ВОЗРАСТЕ ОТ 14 ДО 18 ЛЕТ В СВОБОДНОЕ ОТ УЧЕБЫ ВРЕМЯ</v>
      </c>
      <c r="C29" s="1706" t="str">
        <f>'Бюд.р.'!D317</f>
        <v>510 02 00</v>
      </c>
      <c r="D29" s="1725"/>
      <c r="E29" s="1135"/>
      <c r="F29" s="1193"/>
    </row>
    <row r="30" spans="1:6" ht="32.25" customHeight="1">
      <c r="A30" s="1711" t="s">
        <v>1128</v>
      </c>
      <c r="B30" s="1735" t="str">
        <f>'Бюд.р.'!A560</f>
        <v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v>
      </c>
      <c r="C30" s="1706" t="str">
        <f>'Бюд.р.'!D560</f>
        <v>511 80 32</v>
      </c>
      <c r="D30" s="1726">
        <v>870</v>
      </c>
      <c r="E30" s="1126"/>
      <c r="F30" s="1194">
        <f>'Бюд.р.'!G224</f>
        <v>300</v>
      </c>
    </row>
    <row r="31" spans="1:6" ht="31.5" customHeight="1">
      <c r="A31" s="1711" t="s">
        <v>1129</v>
      </c>
      <c r="B31" s="1735" t="str">
        <f>'Бюд.р.'!A565</f>
        <v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v>
      </c>
      <c r="C31" s="1710" t="str">
        <f>'Бюд.р.'!D565</f>
        <v>511 80 33</v>
      </c>
      <c r="D31" s="1729"/>
      <c r="E31" s="1180"/>
      <c r="F31" s="1188">
        <f>'Бюд.р.'!G228</f>
        <v>0</v>
      </c>
    </row>
    <row r="32" spans="1:6" ht="15">
      <c r="A32" s="1711" t="s">
        <v>1130</v>
      </c>
      <c r="B32" s="1736" t="str">
        <f>'Бюд.р.'!A335</f>
        <v>БЛАГОУСТРОЙСТВО ПРИДОМОВЫХ ТЕРРИТОРИЙ И ДВОРОВЫХ ТЕРРИТОРИЙ</v>
      </c>
      <c r="C32" s="1710" t="str">
        <f>'Бюд.р.'!D335</f>
        <v>600 01 00</v>
      </c>
      <c r="D32" s="1716"/>
      <c r="E32" s="1137"/>
      <c r="F32" s="1192">
        <f>F33</f>
        <v>200</v>
      </c>
    </row>
    <row r="33" spans="1:6" ht="16.5" customHeight="1">
      <c r="A33" s="1711" t="s">
        <v>1131</v>
      </c>
      <c r="B33" s="1733" t="str">
        <f>'Бюд.р.'!A336</f>
        <v>ТЕКУЩИЙ РЕМОНТ ПРИДОМОВЫХ ТЕРРИТОРИЙ И ДВОРОВЫХ ТЕРРИТОРИЙ , ВКЛЮЧАЯ ПРОЕЗДЫ И ВЪЕЗДЫ,ПЕШЕХОДНЫЕ ДОРОЖКИ</v>
      </c>
      <c r="C33" s="1706" t="str">
        <f>'Бюд.р.'!D338</f>
        <v>600 01 01</v>
      </c>
      <c r="D33" s="1717">
        <f>'Бюд.р.'!E231</f>
        <v>13</v>
      </c>
      <c r="E33" s="1119"/>
      <c r="F33" s="1190">
        <f>'Бюд.р.'!G231</f>
        <v>200</v>
      </c>
    </row>
    <row r="34" spans="1:6" ht="15">
      <c r="A34" s="1711" t="s">
        <v>1132</v>
      </c>
      <c r="B34" s="1733" t="str">
        <f>'Бюд.р.'!A346</f>
        <v>ОРГАНИЗАЦИЯ ДОПОЛНИТЕЛЬНЫХ  ПАРКОВОЧНЫХ МЕСТ НА ДВОРОВЫХ ТЕРРИТОРИЯХ</v>
      </c>
      <c r="C34" s="1710" t="str">
        <f>'Бюд.р.'!D346</f>
        <v>600 01 01</v>
      </c>
      <c r="D34" s="1730"/>
      <c r="E34" s="1108"/>
      <c r="F34" s="1192">
        <f>SUM(F35:F48)</f>
        <v>226</v>
      </c>
    </row>
    <row r="35" spans="1:6" ht="15">
      <c r="A35" s="1711" t="s">
        <v>1133</v>
      </c>
      <c r="B35" s="1709" t="str">
        <f>'Бюд.р.'!A351</f>
        <v>УСТАНОВКА,СОДЕРЖАНИЕ И РЕМОНТ ОГРАЖДЕНИЙ ГАЗОНОВ </v>
      </c>
      <c r="C35" s="1706" t="str">
        <f>'Бюд.р.'!D351</f>
        <v>600 01 03</v>
      </c>
      <c r="D35" s="1717" t="s">
        <v>764</v>
      </c>
      <c r="E35" s="1112"/>
      <c r="F35" s="1190">
        <f>'Бюд.р.'!G234</f>
        <v>0</v>
      </c>
    </row>
    <row r="36" spans="1:6" ht="25.5" customHeight="1">
      <c r="A36" s="1711" t="s">
        <v>1134</v>
      </c>
      <c r="B36" s="1709" t="str">
        <f>'Бюд.р.'!A362</f>
        <v>УСТАНОВКА И СОДЕРЖАНИЕ МАЛЫХ АРХИТЕКТУРНЫХ ФОРМ, УЛИЧНОЙ МЕБЕЛИ И ХОЗЯЙСТВЕННОГО-БЫТОВОГО ОБОРУДОВАНИЯ, НЕОБХОДИМОГО ДЛЯ БЛАГОУСТРОЙСТВА ТЕРРИТОРИИ МО</v>
      </c>
      <c r="C36" s="1706" t="str">
        <f>'Бюд.р.'!D362</f>
        <v>600 01 04</v>
      </c>
      <c r="D36" s="1717"/>
      <c r="E36" s="1112"/>
      <c r="F36" s="1190"/>
    </row>
    <row r="37" spans="1:6" ht="13.5" customHeight="1">
      <c r="A37" s="1711" t="s">
        <v>1135</v>
      </c>
      <c r="B37" s="1736" t="str">
        <f>'Бюд.р.'!A370</f>
        <v>БЛАГОУСТРОЙСТВО ТЕРРИТОРИИ МО , СВЯЗАННОЕ С ОБЕСПЕЧЕНИЕМ САНИТАРНОГО БЛАГОПОЛУЧИЯ НАСЕЛЕНИЯ</v>
      </c>
      <c r="C37" s="1706" t="str">
        <f>'Бюд.р.'!D370</f>
        <v>600 02 00</v>
      </c>
      <c r="D37" s="1717"/>
      <c r="E37" s="1112"/>
      <c r="F37" s="1190"/>
    </row>
    <row r="38" spans="1:6" ht="15">
      <c r="A38" s="1711" t="s">
        <v>1136</v>
      </c>
      <c r="B38" s="1709" t="str">
        <f>'Бюд.р.'!A371</f>
        <v>ОБОРУДОВАНИЕ КОНТЕЙНЕРНЫХ ПЛОЩАДОК НА ТЕРРИТОРИЯХ ДВОРОВ</v>
      </c>
      <c r="C38" s="1706" t="str">
        <f>'Бюд.р.'!D371</f>
        <v>600 02 01</v>
      </c>
      <c r="D38" s="1717"/>
      <c r="E38" s="1112"/>
      <c r="F38" s="1190"/>
    </row>
    <row r="39" spans="1:6" ht="25.5" customHeight="1">
      <c r="A39" s="1711" t="s">
        <v>1137</v>
      </c>
      <c r="B39" s="1709" t="str">
        <f>'Бюд.р.'!A382</f>
        <v>ЛИКВИДАЦИЯ НЕСАНКЦИОНИРОВАННЫХ СВАЛОК БЫТОВЫХ ОТХОДОВ, МУСОРА, УБОРКА ТЕРРИТОРИЙ, ВОДНЫХ АКВАТОРИЙ, ТУПИКОВ И ПРОЕЗДОВ</v>
      </c>
      <c r="C39" s="1706" t="str">
        <f>'Бюд.р.'!D382</f>
        <v>600 02 04</v>
      </c>
      <c r="D39" s="1717"/>
      <c r="E39" s="1112"/>
      <c r="F39" s="1190"/>
    </row>
    <row r="40" spans="1:6" ht="15">
      <c r="A40" s="1711" t="s">
        <v>1138</v>
      </c>
      <c r="B40" s="1709" t="str">
        <f>'Бюд.р.'!A390</f>
        <v>ОЗЕЛЕНЕНИЕ  ТЕРРИТОРИЙ МУНИЦИПАЛЬНОГО ОБРАЗОВАНИЯ</v>
      </c>
      <c r="C40" s="1706" t="str">
        <f>'Бюд.р.'!D390</f>
        <v>600 03 00</v>
      </c>
      <c r="D40" s="1717"/>
      <c r="E40" s="1112"/>
      <c r="F40" s="1190"/>
    </row>
    <row r="41" spans="1:6" ht="27" customHeight="1">
      <c r="A41" s="1711" t="s">
        <v>1139</v>
      </c>
      <c r="B41" s="1709" t="str">
        <f>'Бюд.р.'!A391</f>
        <v>ОЗЕЛЕНЕНИЕ , СОДЕРЖАНИЕ И РЕМОНТ ТЕРРИТОРИЙ  ЗЕЛЕНЫХ НАСАЖДЕНИЙ ВНУТРИКВАРТАЛЬНОГО ОЗЕЛЕНЕНИЯ, КОМПЕНСАЦИОННОЕ ОЗЕЛЕНЕНИЕ</v>
      </c>
      <c r="C41" s="1706" t="str">
        <f>'Бюд.р.'!D391</f>
        <v>600 03 01</v>
      </c>
      <c r="D41" s="1717"/>
      <c r="E41" s="1112"/>
      <c r="F41" s="1190"/>
    </row>
    <row r="42" spans="1:6" ht="29.25" customHeight="1">
      <c r="A42" s="1711" t="s">
        <v>1140</v>
      </c>
      <c r="B42" s="1709" t="str">
        <f>'Бюд.р.'!A401</f>
        <v>ПРОВЕДЕНИЕ САНИТАРНЫХ РУБОК, УДАЛЕНИЕ АВАРИЙНЫХ, БОЛЬНЫХ ДЕРЕВЬЕВ И КУСТАРНИКОВ В ОТНОШЕНИИ ЗЕЛЕНЫХ НАСАЖДЕНИЙ ВНУТРИКВАРТАЛЬНОГО ОЗЕЛЕНЕНИЯ</v>
      </c>
      <c r="C42" s="1706" t="str">
        <f>'Бюд.р.'!D401</f>
        <v>600 03 02</v>
      </c>
      <c r="D42" s="1717"/>
      <c r="E42" s="1112"/>
      <c r="F42" s="1190"/>
    </row>
    <row r="43" spans="1:6" ht="15">
      <c r="A43" s="1711" t="s">
        <v>1141</v>
      </c>
      <c r="B43" s="1709" t="str">
        <f>'Бюд.р.'!A413</f>
        <v>ОРГАНИЗАЦИЯ УЧЕТА ЗЕЛЕНЫХ НАСАЖДЕНИЙ ВНУТРИКВАРТАЛЬНОГО ОЗЕЛЕНЕНИЯ </v>
      </c>
      <c r="C43" s="1706" t="str">
        <f>'Бюд.р.'!D413</f>
        <v>600 03 05</v>
      </c>
      <c r="D43" s="1717"/>
      <c r="E43" s="1112"/>
      <c r="F43" s="1190"/>
    </row>
    <row r="44" spans="1:6" ht="15">
      <c r="A44" s="1711" t="s">
        <v>1142</v>
      </c>
      <c r="B44" s="1709" t="str">
        <f>'Бюд.р.'!A418</f>
        <v>ПРОЧИЕ МЕРОПРИЯТИЯ В ОБЛАСТИ БЛАГОУСТРОЙСТВА</v>
      </c>
      <c r="C44" s="1706" t="str">
        <f>'Бюд.р.'!D418</f>
        <v>600 04 00</v>
      </c>
      <c r="D44" s="1717"/>
      <c r="E44" s="1112"/>
      <c r="F44" s="1190"/>
    </row>
    <row r="45" spans="1:6" ht="16.5" customHeight="1">
      <c r="A45" s="1711" t="s">
        <v>1143</v>
      </c>
      <c r="B45" s="1709" t="str">
        <f>'Бюд.р.'!A419</f>
        <v>СОЗДАНИЕ ЗОН ОТДЫХА, В ТОМ ЧИСЛЕ ОБУСТРОЙСТВО, СОДЕРЖАНИЕ И УБОРКА ТЕРРИТОРИЙ ДЕТСКИХ ПЛОЩАДОК</v>
      </c>
      <c r="C45" s="1706" t="str">
        <f>'Бюд.р.'!D419</f>
        <v>600 04 01</v>
      </c>
      <c r="D45" s="1717"/>
      <c r="E45" s="1112"/>
      <c r="F45" s="1190"/>
    </row>
    <row r="46" spans="1:6" ht="15" customHeight="1">
      <c r="A46" s="1711" t="s">
        <v>1144</v>
      </c>
      <c r="B46" s="1709" t="str">
        <f>'Бюд.р.'!A427</f>
        <v>ОБУСТРОЙСТВО, СОДЕРЖАНИЕ И УБОРКА ТЕРРИТОРИЙ СПОРТИВНЫХ ПЛОЩАДОК</v>
      </c>
      <c r="C46" s="1706" t="str">
        <f>'Бюд.р.'!D431</f>
        <v>600 04 02</v>
      </c>
      <c r="D46" s="1717"/>
      <c r="E46" s="1112"/>
      <c r="F46" s="1190"/>
    </row>
    <row r="47" spans="1:6" ht="15" customHeight="1">
      <c r="A47" s="1711" t="s">
        <v>1313</v>
      </c>
      <c r="B47" s="1709" t="str">
        <f>'Бюд.р.'!A432</f>
        <v>ВЫПОЛНЕНИЕ ОФОРМЛЕНИЯ К ПРАЗДНИЧНЫМ МЕРОПРИЯТИЯМ НА ТЕРРИТОРИИ МУНИЦИПАЛЬНОГО ОБРАЗОВАНИЯ</v>
      </c>
      <c r="C47" s="1706" t="str">
        <f>'Бюд.р.'!D432</f>
        <v>600 04 03</v>
      </c>
      <c r="D47" s="1717"/>
      <c r="E47" s="1112"/>
      <c r="F47" s="1190"/>
    </row>
    <row r="48" spans="1:6" ht="28.5" customHeight="1">
      <c r="A48" s="1711" t="s">
        <v>1145</v>
      </c>
      <c r="B48" s="1737" t="str">
        <f>'Бюд.р.'!A494</f>
        <v>Ведомственная целевая программа по участию в реализации мер по профилактике дорожно-транспортного травматизма на территории МО </v>
      </c>
      <c r="C48" s="1712" t="str">
        <f>'Бюд.р.'!D494</f>
        <v>795 01 00</v>
      </c>
      <c r="D48" s="1717" t="s">
        <v>930</v>
      </c>
      <c r="E48" s="1112"/>
      <c r="F48" s="1190">
        <f>'Бюд.р.'!G238</f>
        <v>226</v>
      </c>
    </row>
    <row r="49" spans="1:6" ht="15.75" customHeight="1">
      <c r="A49" s="1711" t="s">
        <v>1146</v>
      </c>
      <c r="B49" s="1737" t="str">
        <f>'Бюд.р.'!A273</f>
        <v>Ведомственная целевая программа  по участию в деятельности по профилактике правонарушений в Санкт-Петербурге на территории МО</v>
      </c>
      <c r="C49" s="1712" t="str">
        <f>'Бюд.р.'!D273</f>
        <v>795 02 00</v>
      </c>
      <c r="D49" s="1731"/>
      <c r="E49" s="1123"/>
      <c r="F49" s="1193">
        <f>F51</f>
        <v>226</v>
      </c>
    </row>
    <row r="50" spans="1:6" ht="76.5" customHeight="1">
      <c r="A50" s="1711" t="s">
        <v>1147</v>
      </c>
      <c r="B50" s="1737" t="str">
        <f>'Бюд.р.'!A288</f>
        <v>Ведомственная целевая программа  по осуществлению содействия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ЧС, а также содействия в информировании населения  об угрозе возникновения или возникновении чрезвычайной ситуации; по проведению подготовки и обучения неработающего населения способам защиты и действиям в чрезвычайных ситуациях, а так же способам защиты от опасностей, возникающих при ведении военных действий или вследствие этих действий</v>
      </c>
      <c r="C50" s="1712" t="str">
        <f>'Бюд.р.'!D288</f>
        <v>795 03 00</v>
      </c>
      <c r="D50" s="1731"/>
      <c r="E50" s="1123"/>
      <c r="F50" s="1193"/>
    </row>
    <row r="51" spans="1:6" ht="34.5" customHeight="1">
      <c r="A51" s="1711" t="s">
        <v>1148</v>
      </c>
      <c r="B51" s="1738" t="str">
        <f>'Бюд.р.'!A503</f>
        <v>Ведомственная 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 </v>
      </c>
      <c r="C51" s="1712" t="str">
        <f>'Бюд.р.'!D503</f>
        <v>795 04 00</v>
      </c>
      <c r="D51" s="1726">
        <f>'Бюд.р.'!E242</f>
        <v>500</v>
      </c>
      <c r="E51" s="1133"/>
      <c r="F51" s="1194">
        <f>'Бюд.р.'!G242</f>
        <v>226</v>
      </c>
    </row>
    <row r="52" spans="1:6" ht="32.25" customHeight="1">
      <c r="A52" s="1711" t="s">
        <v>1149</v>
      </c>
      <c r="B52" s="1738" t="str">
        <f>'Бюд.р.'!A309</f>
        <v>Ведомственная целевая программа   по участию в профилактике  терроризма и экстремизма, а также  минимизации и (или) ликвидации последствий проявления терроризма и экстремизма на территории МО </v>
      </c>
      <c r="C52" s="1712" t="str">
        <f>'Бюд.р.'!D309</f>
        <v>795 05 00</v>
      </c>
      <c r="D52" s="1717"/>
      <c r="E52" s="1112"/>
      <c r="F52" s="1192">
        <f>F53</f>
        <v>200</v>
      </c>
    </row>
    <row r="53" spans="1:6" ht="18.75" customHeight="1">
      <c r="A53" s="1711" t="s">
        <v>1150</v>
      </c>
      <c r="B53" s="1738" t="str">
        <f>'Бюд.р.'!A520</f>
        <v>Ведомственная целевая программа по организации и проведению досуговых мероприятий для жителей МО МО Озеро Долгое </v>
      </c>
      <c r="C53" s="1712" t="str">
        <f>'Бюд.р.'!D520</f>
        <v>795 06 00</v>
      </c>
      <c r="D53" s="1717">
        <f>'Бюд.р.'!E247</f>
        <v>0</v>
      </c>
      <c r="E53" s="1112"/>
      <c r="F53" s="1190">
        <f>'Бюд.р.'!G250</f>
        <v>200</v>
      </c>
    </row>
    <row r="54" spans="1:3" ht="15">
      <c r="A54" s="1711" t="s">
        <v>1151</v>
      </c>
      <c r="B54" s="2189" t="str">
        <f>'Бюд.р.'!A328</f>
        <v>Ведомственная целевая программа по содействия развитию малого бизнеса на территории МО</v>
      </c>
      <c r="C54" s="2191" t="str">
        <f>'Бюд.р.'!D328</f>
        <v>795 07 00</v>
      </c>
    </row>
    <row r="55" spans="1:3" ht="15">
      <c r="A55" s="1711" t="s">
        <v>1152</v>
      </c>
      <c r="B55" s="2189" t="str">
        <f>'Бюд.р.'!A469</f>
        <v>Ведомственная целевая программа по военно-патриотическому воспитанию граждан муниципального образования</v>
      </c>
      <c r="C55" s="2191" t="str">
        <f>'Бюд.р.'!D469</f>
        <v>795 08 00</v>
      </c>
    </row>
    <row r="56" spans="1:3" ht="28.5" customHeight="1">
      <c r="A56" s="1711" t="s">
        <v>1153</v>
      </c>
      <c r="B56" s="2190" t="str">
        <f>'Бюд.р.'!A511</f>
        <v>Ведомственная целевая программа по организации и проведению местных и участию в организации и проведении городских праздничных и иных зрелищных мероприятий, а также мероприятий по сохранению и развитию местных традиций и обрядов </v>
      </c>
      <c r="C56" s="2191" t="str">
        <f>'Бюд.р.'!D511</f>
        <v>795 09 00</v>
      </c>
    </row>
    <row r="57" spans="1:3" ht="45" customHeight="1">
      <c r="A57" s="1711" t="s">
        <v>1154</v>
      </c>
      <c r="B57" s="2190" t="str">
        <f>'Бюд.р.'!A580</f>
        <v>Ведомственная целевая программа по  обеспечению условий для развития на территории муниципального образования физической культуры и массового спорта, по организации и проведению официальных физкультурных мероприятий, физкультурно-оздоровительных мероприятий и спортивных мероприятий МО</v>
      </c>
      <c r="C57" s="2191" t="str">
        <f>'Бюд.р.'!D580</f>
        <v>795 10 00</v>
      </c>
    </row>
    <row r="58" spans="1:3" ht="46.5" customHeight="1">
      <c r="A58" s="1711" t="s">
        <v>1155</v>
      </c>
      <c r="B58" s="2190" t="str">
        <f>'Бюд.р.'!A280</f>
        <v>Ведомственная целевая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и информировании населения о вреде потребления табака и вредном воздействии окружающего табачного дыма</v>
      </c>
      <c r="C58" s="2191" t="str">
        <f>'Бюд.р.'!D280</f>
        <v>795 11 00</v>
      </c>
    </row>
    <row r="59" spans="1:3" ht="14.25">
      <c r="A59" s="1708"/>
      <c r="B59" s="1708"/>
      <c r="C59" s="1708"/>
    </row>
    <row r="60" spans="1:3" ht="14.25">
      <c r="A60" s="1708"/>
      <c r="B60" s="1708"/>
      <c r="C60" s="1708"/>
    </row>
    <row r="61" spans="1:3" ht="14.25">
      <c r="A61" s="1708"/>
      <c r="B61" s="1708"/>
      <c r="C61" s="1708"/>
    </row>
    <row r="62" spans="1:3" ht="14.25">
      <c r="A62" s="1708"/>
      <c r="B62" s="1708"/>
      <c r="C62" s="1708"/>
    </row>
    <row r="63" spans="1:3" ht="14.25">
      <c r="A63" s="1708"/>
      <c r="B63" s="1708"/>
      <c r="C63" s="1708"/>
    </row>
    <row r="64" spans="1:3" ht="14.25">
      <c r="A64" s="1708"/>
      <c r="B64" s="1708"/>
      <c r="C64" s="1708"/>
    </row>
    <row r="65" spans="1:3" ht="14.25">
      <c r="A65" s="1708"/>
      <c r="B65" s="1708"/>
      <c r="C65" s="1708"/>
    </row>
    <row r="66" spans="1:3" ht="14.25">
      <c r="A66" s="1708"/>
      <c r="B66" s="1708"/>
      <c r="C66" s="1708"/>
    </row>
    <row r="67" spans="1:3" ht="14.25">
      <c r="A67" s="1708"/>
      <c r="B67" s="1708"/>
      <c r="C67" s="1708"/>
    </row>
    <row r="68" spans="1:3" ht="14.25">
      <c r="A68" s="1708"/>
      <c r="B68" s="1708"/>
      <c r="C68" s="1708"/>
    </row>
    <row r="69" spans="1:3" ht="14.25">
      <c r="A69" s="1708"/>
      <c r="B69" s="1708"/>
      <c r="C69" s="1708"/>
    </row>
    <row r="70" spans="1:3" ht="14.25">
      <c r="A70" s="1708"/>
      <c r="B70" s="1708"/>
      <c r="C70" s="1708"/>
    </row>
    <row r="71" spans="1:3" ht="14.25">
      <c r="A71" s="1708"/>
      <c r="B71" s="1708"/>
      <c r="C71" s="1708"/>
    </row>
    <row r="72" spans="1:3" ht="14.25">
      <c r="A72" s="1708"/>
      <c r="B72" s="1708"/>
      <c r="C72" s="1708"/>
    </row>
    <row r="73" spans="1:3" ht="14.25">
      <c r="A73" s="1708"/>
      <c r="B73" s="1708"/>
      <c r="C73" s="1708"/>
    </row>
    <row r="74" spans="1:3" ht="14.25">
      <c r="A74" s="1708"/>
      <c r="B74" s="1708"/>
      <c r="C74" s="1708"/>
    </row>
    <row r="75" spans="1:3" ht="14.25">
      <c r="A75" s="1708"/>
      <c r="B75" s="1708"/>
      <c r="C75" s="1708"/>
    </row>
    <row r="76" spans="1:3" ht="14.25">
      <c r="A76" s="1708"/>
      <c r="B76" s="1708"/>
      <c r="C76" s="1708"/>
    </row>
    <row r="77" spans="1:3" ht="14.25">
      <c r="A77" s="1708"/>
      <c r="B77" s="1708"/>
      <c r="C77" s="1708"/>
    </row>
    <row r="78" spans="1:3" ht="14.25">
      <c r="A78" s="1708"/>
      <c r="B78" s="1708"/>
      <c r="C78" s="1708"/>
    </row>
    <row r="79" spans="1:3" ht="14.25">
      <c r="A79" s="1708"/>
      <c r="B79" s="1708"/>
      <c r="C79" s="1708"/>
    </row>
    <row r="80" spans="1:3" ht="14.25">
      <c r="A80" s="1708"/>
      <c r="B80" s="1708"/>
      <c r="C80" s="1708"/>
    </row>
    <row r="81" spans="1:3" ht="14.25">
      <c r="A81" s="1708"/>
      <c r="B81" s="1708"/>
      <c r="C81" s="1708"/>
    </row>
    <row r="82" spans="1:3" ht="14.25">
      <c r="A82" s="1708"/>
      <c r="B82" s="1708"/>
      <c r="C82" s="1708"/>
    </row>
    <row r="83" spans="1:3" ht="14.25">
      <c r="A83" s="1708"/>
      <c r="B83" s="1708"/>
      <c r="C83" s="1708"/>
    </row>
    <row r="84" spans="1:3" ht="14.25">
      <c r="A84" s="1708"/>
      <c r="B84" s="1708"/>
      <c r="C84" s="1708"/>
    </row>
    <row r="85" spans="1:3" ht="14.25">
      <c r="A85" s="1708"/>
      <c r="B85" s="1708"/>
      <c r="C85" s="1708"/>
    </row>
    <row r="86" spans="1:3" ht="14.25">
      <c r="A86" s="1708"/>
      <c r="B86" s="1708"/>
      <c r="C86" s="1708"/>
    </row>
    <row r="87" spans="1:3" ht="14.25">
      <c r="A87" s="1708"/>
      <c r="B87" s="1708"/>
      <c r="C87" s="1708"/>
    </row>
    <row r="88" spans="1:3" ht="14.25">
      <c r="A88" s="1708"/>
      <c r="B88" s="1708"/>
      <c r="C88" s="1708"/>
    </row>
    <row r="89" spans="1:3" ht="14.25">
      <c r="A89" s="1708"/>
      <c r="B89" s="1708"/>
      <c r="C89" s="1708"/>
    </row>
    <row r="90" spans="1:3" ht="14.25">
      <c r="A90" s="1708"/>
      <c r="B90" s="1708"/>
      <c r="C90" s="1708"/>
    </row>
    <row r="91" spans="1:3" ht="14.25">
      <c r="A91" s="1708"/>
      <c r="B91" s="1708"/>
      <c r="C91" s="1708"/>
    </row>
    <row r="92" spans="1:3" ht="14.25">
      <c r="A92" s="1708"/>
      <c r="B92" s="1708"/>
      <c r="C92" s="1708"/>
    </row>
    <row r="93" spans="1:3" ht="14.25">
      <c r="A93" s="1708"/>
      <c r="B93" s="1708"/>
      <c r="C93" s="1708"/>
    </row>
    <row r="94" spans="1:3" ht="14.25">
      <c r="A94" s="1708"/>
      <c r="B94" s="1708"/>
      <c r="C94" s="1708"/>
    </row>
    <row r="95" spans="1:3" ht="14.25">
      <c r="A95" s="1708"/>
      <c r="B95" s="1708"/>
      <c r="C95" s="1708"/>
    </row>
    <row r="96" spans="1:3" ht="14.25">
      <c r="A96" s="1708"/>
      <c r="B96" s="1708"/>
      <c r="C96" s="1708"/>
    </row>
    <row r="97" spans="1:3" ht="14.25">
      <c r="A97" s="1708"/>
      <c r="B97" s="1708"/>
      <c r="C97" s="1708"/>
    </row>
    <row r="98" spans="1:3" ht="14.25">
      <c r="A98" s="1708"/>
      <c r="B98" s="1708"/>
      <c r="C98" s="1708"/>
    </row>
    <row r="99" spans="1:3" ht="14.25">
      <c r="A99" s="1708"/>
      <c r="B99" s="1708"/>
      <c r="C99" s="1708"/>
    </row>
    <row r="100" spans="1:3" ht="14.25">
      <c r="A100" s="1708"/>
      <c r="B100" s="1708"/>
      <c r="C100" s="1708"/>
    </row>
    <row r="101" spans="1:3" ht="14.25">
      <c r="A101" s="1708"/>
      <c r="B101" s="1708"/>
      <c r="C101" s="1708"/>
    </row>
    <row r="102" spans="1:3" ht="14.25">
      <c r="A102" s="1708"/>
      <c r="B102" s="1708"/>
      <c r="C102" s="1708"/>
    </row>
    <row r="103" spans="1:3" ht="14.25">
      <c r="A103" s="1708"/>
      <c r="B103" s="1708"/>
      <c r="C103" s="1708"/>
    </row>
    <row r="104" spans="1:3" ht="14.25">
      <c r="A104" s="1708"/>
      <c r="B104" s="1708"/>
      <c r="C104" s="1708"/>
    </row>
    <row r="105" spans="1:3" ht="14.25">
      <c r="A105" s="1708"/>
      <c r="B105" s="1708"/>
      <c r="C105" s="1708"/>
    </row>
    <row r="106" spans="1:3" ht="14.25">
      <c r="A106" s="1708"/>
      <c r="B106" s="1708"/>
      <c r="C106" s="1708"/>
    </row>
    <row r="107" spans="1:3" ht="14.25">
      <c r="A107" s="1708"/>
      <c r="B107" s="1708"/>
      <c r="C107" s="1708"/>
    </row>
    <row r="108" spans="1:3" ht="14.25">
      <c r="A108" s="1708"/>
      <c r="B108" s="1708"/>
      <c r="C108" s="1708"/>
    </row>
    <row r="109" spans="1:3" ht="14.25">
      <c r="A109" s="1708"/>
      <c r="B109" s="1708"/>
      <c r="C109" s="1708"/>
    </row>
    <row r="110" spans="1:3" ht="14.25">
      <c r="A110" s="1708"/>
      <c r="B110" s="1708"/>
      <c r="C110" s="1708"/>
    </row>
    <row r="111" spans="1:3" ht="14.25">
      <c r="A111" s="1708"/>
      <c r="B111" s="1708"/>
      <c r="C111" s="1708"/>
    </row>
    <row r="112" spans="1:3" ht="14.25">
      <c r="A112" s="1708"/>
      <c r="B112" s="1708"/>
      <c r="C112" s="1708"/>
    </row>
    <row r="113" spans="1:3" ht="14.25">
      <c r="A113" s="1708"/>
      <c r="B113" s="1708"/>
      <c r="C113" s="1708"/>
    </row>
    <row r="114" spans="1:3" ht="14.25">
      <c r="A114" s="1708"/>
      <c r="B114" s="1708"/>
      <c r="C114" s="1708"/>
    </row>
    <row r="115" spans="1:3" ht="14.25">
      <c r="A115" s="1708"/>
      <c r="B115" s="1708"/>
      <c r="C115" s="1708"/>
    </row>
    <row r="116" spans="1:3" ht="14.25">
      <c r="A116" s="1708"/>
      <c r="B116" s="1708"/>
      <c r="C116" s="1708"/>
    </row>
    <row r="117" spans="1:3" ht="14.25">
      <c r="A117" s="1708"/>
      <c r="B117" s="1708"/>
      <c r="C117" s="1708"/>
    </row>
    <row r="118" spans="1:3" ht="14.25">
      <c r="A118" s="1708"/>
      <c r="B118" s="1708"/>
      <c r="C118" s="1708"/>
    </row>
    <row r="119" spans="1:3" ht="14.25">
      <c r="A119" s="1708"/>
      <c r="B119" s="1708"/>
      <c r="C119" s="1708"/>
    </row>
    <row r="120" spans="1:3" ht="14.25">
      <c r="A120" s="1708"/>
      <c r="B120" s="1708"/>
      <c r="C120" s="1708"/>
    </row>
    <row r="121" spans="1:3" ht="14.25">
      <c r="A121" s="1708"/>
      <c r="B121" s="1708"/>
      <c r="C121" s="1708"/>
    </row>
    <row r="122" spans="1:3" ht="14.25">
      <c r="A122" s="1708"/>
      <c r="B122" s="1708"/>
      <c r="C122" s="1708"/>
    </row>
    <row r="123" spans="1:3" ht="14.25">
      <c r="A123" s="1708"/>
      <c r="B123" s="1708"/>
      <c r="C123" s="1708"/>
    </row>
    <row r="124" spans="1:3" ht="14.25">
      <c r="A124" s="1708"/>
      <c r="B124" s="1708"/>
      <c r="C124" s="1708"/>
    </row>
    <row r="125" spans="1:3" ht="14.25">
      <c r="A125" s="1708"/>
      <c r="B125" s="1708"/>
      <c r="C125" s="1708"/>
    </row>
    <row r="126" spans="1:3" ht="14.25">
      <c r="A126" s="1708"/>
      <c r="B126" s="1708"/>
      <c r="C126" s="1708"/>
    </row>
    <row r="127" spans="1:3" ht="14.25">
      <c r="A127" s="1708"/>
      <c r="B127" s="1708"/>
      <c r="C127" s="1708"/>
    </row>
    <row r="128" spans="1:3" ht="14.25">
      <c r="A128" s="1708"/>
      <c r="B128" s="1708"/>
      <c r="C128" s="1708"/>
    </row>
    <row r="129" spans="1:3" ht="14.25">
      <c r="A129" s="1708"/>
      <c r="B129" s="1708"/>
      <c r="C129" s="1708"/>
    </row>
    <row r="130" spans="1:3" ht="14.25">
      <c r="A130" s="1708"/>
      <c r="B130" s="1708"/>
      <c r="C130" s="1708"/>
    </row>
    <row r="131" spans="1:3" ht="14.25">
      <c r="A131" s="1708"/>
      <c r="B131" s="1708"/>
      <c r="C131" s="1708"/>
    </row>
    <row r="132" spans="1:3" ht="14.25">
      <c r="A132" s="1708"/>
      <c r="B132" s="1708"/>
      <c r="C132" s="1708"/>
    </row>
    <row r="133" spans="1:3" ht="14.25">
      <c r="A133" s="1708"/>
      <c r="B133" s="1708"/>
      <c r="C133" s="1708"/>
    </row>
    <row r="134" spans="1:3" ht="14.25">
      <c r="A134" s="1708"/>
      <c r="B134" s="1708"/>
      <c r="C134" s="1708"/>
    </row>
    <row r="135" spans="1:3" ht="14.25">
      <c r="A135" s="1708"/>
      <c r="B135" s="1708"/>
      <c r="C135" s="1708"/>
    </row>
    <row r="136" spans="1:3" ht="14.25">
      <c r="A136" s="1708"/>
      <c r="B136" s="1708"/>
      <c r="C136" s="1708"/>
    </row>
    <row r="137" spans="1:3" ht="14.25">
      <c r="A137" s="1708"/>
      <c r="B137" s="1708"/>
      <c r="C137" s="1708"/>
    </row>
    <row r="138" spans="1:3" ht="14.25">
      <c r="A138" s="1708"/>
      <c r="B138" s="1708"/>
      <c r="C138" s="1708"/>
    </row>
    <row r="139" spans="1:3" ht="14.25">
      <c r="A139" s="1708"/>
      <c r="B139" s="1708"/>
      <c r="C139" s="1708"/>
    </row>
    <row r="140" spans="1:3" ht="14.25">
      <c r="A140" s="1708"/>
      <c r="B140" s="1708"/>
      <c r="C140" s="1708"/>
    </row>
    <row r="141" spans="1:3" ht="14.25">
      <c r="A141" s="1708"/>
      <c r="B141" s="1708"/>
      <c r="C141" s="1708"/>
    </row>
    <row r="142" spans="1:3" ht="14.25">
      <c r="A142" s="1708"/>
      <c r="B142" s="1708"/>
      <c r="C142" s="1708"/>
    </row>
    <row r="143" spans="1:3" ht="14.25">
      <c r="A143" s="1708"/>
      <c r="B143" s="1708"/>
      <c r="C143" s="1708"/>
    </row>
    <row r="144" spans="1:3" ht="14.25">
      <c r="A144" s="1708"/>
      <c r="B144" s="1708"/>
      <c r="C144" s="1708"/>
    </row>
    <row r="145" spans="1:3" ht="14.25">
      <c r="A145" s="1708"/>
      <c r="B145" s="1708"/>
      <c r="C145" s="1708"/>
    </row>
    <row r="146" spans="1:3" ht="14.25">
      <c r="A146" s="1708"/>
      <c r="B146" s="1708"/>
      <c r="C146" s="1708"/>
    </row>
    <row r="147" spans="1:3" ht="14.25">
      <c r="A147" s="1708"/>
      <c r="B147" s="1708"/>
      <c r="C147" s="1708"/>
    </row>
    <row r="148" spans="1:3" ht="14.25">
      <c r="A148" s="1708"/>
      <c r="B148" s="1708"/>
      <c r="C148" s="1708"/>
    </row>
    <row r="149" spans="1:3" ht="14.25">
      <c r="A149" s="1708"/>
      <c r="B149" s="1708"/>
      <c r="C149" s="1708"/>
    </row>
    <row r="150" spans="1:3" ht="14.25">
      <c r="A150" s="1708"/>
      <c r="B150" s="1708"/>
      <c r="C150" s="1708"/>
    </row>
    <row r="151" spans="1:3" ht="14.25">
      <c r="A151" s="1708"/>
      <c r="B151" s="1708"/>
      <c r="C151" s="1708"/>
    </row>
    <row r="152" spans="1:3" ht="14.25">
      <c r="A152" s="1708"/>
      <c r="B152" s="1708"/>
      <c r="C152" s="1708"/>
    </row>
    <row r="153" spans="1:3" ht="14.25">
      <c r="A153" s="1708"/>
      <c r="B153" s="1708"/>
      <c r="C153" s="1708"/>
    </row>
    <row r="154" spans="1:3" ht="14.25">
      <c r="A154" s="1708"/>
      <c r="B154" s="1708"/>
      <c r="C154" s="1708"/>
    </row>
    <row r="155" spans="1:3" ht="14.25">
      <c r="A155" s="1708"/>
      <c r="B155" s="1708"/>
      <c r="C155" s="1708"/>
    </row>
  </sheetData>
  <sheetProtection/>
  <mergeCells count="5">
    <mergeCell ref="A5:F5"/>
    <mergeCell ref="A2:F2"/>
    <mergeCell ref="B3:F3"/>
    <mergeCell ref="B4:C4"/>
    <mergeCell ref="A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5.75390625" style="0" customWidth="1"/>
    <col min="2" max="2" width="64.75390625" style="0" customWidth="1"/>
    <col min="3" max="3" width="4.875" style="0" customWidth="1"/>
    <col min="4" max="4" width="4.125" style="0" customWidth="1"/>
    <col min="5" max="5" width="9.625" style="0" customWidth="1"/>
  </cols>
  <sheetData>
    <row r="1" spans="1:5" ht="15">
      <c r="A1" s="3330"/>
      <c r="B1" s="3330"/>
      <c r="C1" s="3328" t="s">
        <v>1323</v>
      </c>
      <c r="D1" s="3328"/>
      <c r="E1" s="3328"/>
    </row>
    <row r="2" spans="1:5" ht="15">
      <c r="A2" s="3328" t="s">
        <v>416</v>
      </c>
      <c r="B2" s="3328"/>
      <c r="C2" s="3328"/>
      <c r="D2" s="3328"/>
      <c r="E2" s="3328"/>
    </row>
    <row r="3" spans="1:5" ht="15">
      <c r="A3" s="831"/>
      <c r="B3" s="3328" t="s">
        <v>1325</v>
      </c>
      <c r="C3" s="3329"/>
      <c r="D3" s="3329"/>
      <c r="E3" s="3329"/>
    </row>
    <row r="4" spans="1:5" ht="15">
      <c r="A4" s="831"/>
      <c r="B4" s="3328" t="s">
        <v>1343</v>
      </c>
      <c r="C4" s="3329"/>
      <c r="D4" s="3329"/>
      <c r="E4" s="3329"/>
    </row>
    <row r="5" spans="1:5" ht="15">
      <c r="A5" s="831"/>
      <c r="B5" s="3328" t="s">
        <v>416</v>
      </c>
      <c r="C5" s="3328"/>
      <c r="D5" s="3328"/>
      <c r="E5" s="3328"/>
    </row>
    <row r="6" spans="1:5" ht="15">
      <c r="A6" s="831"/>
      <c r="B6" s="3328" t="s">
        <v>1342</v>
      </c>
      <c r="C6" s="3329"/>
      <c r="D6" s="3329"/>
      <c r="E6" s="3329"/>
    </row>
    <row r="7" spans="1:5" ht="48.75" customHeight="1">
      <c r="A7" s="3326" t="s">
        <v>1324</v>
      </c>
      <c r="B7" s="3326"/>
      <c r="C7" s="3326"/>
      <c r="D7" s="3326"/>
      <c r="E7" s="3326"/>
    </row>
    <row r="8" spans="1:5" ht="18.75">
      <c r="A8" s="3121" t="s">
        <v>1257</v>
      </c>
      <c r="B8" s="3121"/>
      <c r="C8" s="3121"/>
      <c r="D8" s="3121"/>
      <c r="E8" s="3121"/>
    </row>
    <row r="9" spans="1:5" ht="13.5" customHeight="1" thickBot="1">
      <c r="A9" s="122"/>
      <c r="B9" s="3120" t="s">
        <v>218</v>
      </c>
      <c r="C9" s="3120"/>
      <c r="D9" s="3120"/>
      <c r="E9" s="3120"/>
    </row>
    <row r="10" spans="1:5" ht="13.5" thickBot="1">
      <c r="A10" s="1786" t="s">
        <v>794</v>
      </c>
      <c r="B10" s="1787" t="s">
        <v>219</v>
      </c>
      <c r="C10" s="1787" t="s">
        <v>1196</v>
      </c>
      <c r="D10" s="1787" t="s">
        <v>1197</v>
      </c>
      <c r="E10" s="1847" t="s">
        <v>268</v>
      </c>
    </row>
    <row r="11" spans="1:5" ht="12.75">
      <c r="A11" s="2420" t="s">
        <v>678</v>
      </c>
      <c r="B11" s="2421">
        <v>2</v>
      </c>
      <c r="C11" s="2422" t="s">
        <v>472</v>
      </c>
      <c r="D11" s="2423" t="s">
        <v>614</v>
      </c>
      <c r="E11" s="2424">
        <v>5</v>
      </c>
    </row>
    <row r="12" spans="1:5" ht="12.75">
      <c r="A12" s="2430" t="s">
        <v>678</v>
      </c>
      <c r="B12" s="2431" t="s">
        <v>102</v>
      </c>
      <c r="C12" s="2430" t="s">
        <v>1166</v>
      </c>
      <c r="D12" s="2430"/>
      <c r="E12" s="2432">
        <f>SUM(E13:E17)</f>
        <v>33364.845</v>
      </c>
    </row>
    <row r="13" spans="1:5" ht="28.5" customHeight="1">
      <c r="A13" s="2297" t="s">
        <v>245</v>
      </c>
      <c r="B13" s="2435" t="str">
        <f>'Бюд.р.'!A59</f>
        <v>Функционирование высшего должностного лица субъекта Российской Федерации и муниципального образования</v>
      </c>
      <c r="C13" s="2297" t="s">
        <v>1166</v>
      </c>
      <c r="D13" s="2297" t="s">
        <v>1167</v>
      </c>
      <c r="E13" s="2436">
        <f>'Бюд.р.'!H59</f>
        <v>1148.509</v>
      </c>
    </row>
    <row r="14" spans="1:5" ht="39" customHeight="1">
      <c r="A14" s="2297" t="s">
        <v>233</v>
      </c>
      <c r="B14" s="2437" t="str">
        <f>'Бюд.р.'!A66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C14" s="2297" t="s">
        <v>1166</v>
      </c>
      <c r="D14" s="2297" t="s">
        <v>1168</v>
      </c>
      <c r="E14" s="2436">
        <f>'Бюд.р.'!H66</f>
        <v>2959.678</v>
      </c>
    </row>
    <row r="15" spans="1:5" ht="38.25" customHeight="1">
      <c r="A15" s="2297" t="s">
        <v>613</v>
      </c>
      <c r="B15" s="2437" t="str">
        <f>'Бюд.р.'!A157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C15" s="2297" t="s">
        <v>1166</v>
      </c>
      <c r="D15" s="2297" t="s">
        <v>1169</v>
      </c>
      <c r="E15" s="2436">
        <f>'Бюд.р.'!H157</f>
        <v>25821.523</v>
      </c>
    </row>
    <row r="16" spans="1:5" ht="12.75">
      <c r="A16" s="2297" t="s">
        <v>442</v>
      </c>
      <c r="B16" s="2435" t="str">
        <f>'Бюд.р.'!A227</f>
        <v>Резервные фонды</v>
      </c>
      <c r="C16" s="2297" t="s">
        <v>1166</v>
      </c>
      <c r="D16" s="2297" t="s">
        <v>94</v>
      </c>
      <c r="E16" s="2436">
        <f>'Бюд.р.'!H227</f>
        <v>2869.841</v>
      </c>
    </row>
    <row r="17" spans="1:5" ht="12.75">
      <c r="A17" s="2297" t="s">
        <v>654</v>
      </c>
      <c r="B17" s="2435" t="str">
        <f>'Бюд.р.'!A233</f>
        <v>Другие общегосударственные вопросы</v>
      </c>
      <c r="C17" s="2297" t="s">
        <v>1166</v>
      </c>
      <c r="D17" s="2297" t="s">
        <v>503</v>
      </c>
      <c r="E17" s="2436">
        <f>'Бюд.р.'!H233+'Бюд.р.'!H107</f>
        <v>565.2940000000001</v>
      </c>
    </row>
    <row r="18" spans="1:5" ht="25.5" customHeight="1">
      <c r="A18" s="2430" t="s">
        <v>768</v>
      </c>
      <c r="B18" s="2431" t="str">
        <f>'Бюд.р.'!A286</f>
        <v>НАЦИОНАЛЬНАЯ БЕЗОПАСНОСТЬ И ПРАВООХРАНИТЕЛЬНАЯ ДЕЯТЕЛЬНОСТЬ</v>
      </c>
      <c r="C18" s="2430" t="s">
        <v>1168</v>
      </c>
      <c r="D18" s="2430"/>
      <c r="E18" s="2432">
        <f>E19</f>
        <v>227.635</v>
      </c>
    </row>
    <row r="19" spans="1:5" ht="24">
      <c r="A19" s="2297" t="s">
        <v>280</v>
      </c>
      <c r="B19" s="2435" t="str">
        <f>'Бюд.р.'!A287</f>
        <v>Защита населения и территории от чрезвычайных ситуаций природного и техногенного характера, гражданская оборона</v>
      </c>
      <c r="C19" s="2297" t="s">
        <v>1168</v>
      </c>
      <c r="D19" s="2297" t="s">
        <v>1172</v>
      </c>
      <c r="E19" s="2436">
        <f>'Бюд.р.'!H287</f>
        <v>227.635</v>
      </c>
    </row>
    <row r="20" spans="1:5" ht="12.75">
      <c r="A20" s="2430" t="s">
        <v>472</v>
      </c>
      <c r="B20" s="2431" t="str">
        <f>'Бюд.р.'!A315</f>
        <v>НАЦИОНАЛЬНАЯ ЭКОНОМИКА</v>
      </c>
      <c r="C20" s="2430" t="s">
        <v>1169</v>
      </c>
      <c r="D20" s="2430"/>
      <c r="E20" s="2432">
        <f>SUM(E21:E22)</f>
        <v>172.414</v>
      </c>
    </row>
    <row r="21" spans="1:5" ht="12.75">
      <c r="A21" s="2297" t="s">
        <v>235</v>
      </c>
      <c r="B21" s="2435" t="str">
        <f>'Бюд.р.'!A316</f>
        <v>Общеэкономические вопросы</v>
      </c>
      <c r="C21" s="2297" t="s">
        <v>1169</v>
      </c>
      <c r="D21" s="2297" t="s">
        <v>1166</v>
      </c>
      <c r="E21" s="2436">
        <f>'Бюд.р.'!H316</f>
        <v>152.414</v>
      </c>
    </row>
    <row r="22" spans="1:5" ht="12.75">
      <c r="A22" s="2297" t="s">
        <v>8</v>
      </c>
      <c r="B22" s="2438" t="str">
        <f>'Бюд.р.'!A327</f>
        <v>Другие вопросы в области национальной экономики</v>
      </c>
      <c r="C22" s="2297" t="s">
        <v>1169</v>
      </c>
      <c r="D22" s="2297" t="s">
        <v>5</v>
      </c>
      <c r="E22" s="2436">
        <f>'Бюд.р.'!H327</f>
        <v>20</v>
      </c>
    </row>
    <row r="23" spans="1:5" ht="12.75">
      <c r="A23" s="2430" t="s">
        <v>614</v>
      </c>
      <c r="B23" s="2431" t="str">
        <f>'Бюд.р.'!A333</f>
        <v>ЖИЛИЩНО-КОММУНАЛЬНОЕ ХОЗЯЙСТВО</v>
      </c>
      <c r="C23" s="2430" t="s">
        <v>1173</v>
      </c>
      <c r="D23" s="2430"/>
      <c r="E23" s="2432">
        <f>E24</f>
        <v>51177.611000000004</v>
      </c>
    </row>
    <row r="24" spans="1:5" ht="12.75">
      <c r="A24" s="2297" t="s">
        <v>615</v>
      </c>
      <c r="B24" s="2435" t="str">
        <f>'Бюд.р.'!A334</f>
        <v>Благоустройство</v>
      </c>
      <c r="C24" s="2297" t="s">
        <v>1173</v>
      </c>
      <c r="D24" s="2297" t="s">
        <v>1168</v>
      </c>
      <c r="E24" s="2436">
        <f>'Бюд.р.'!H334</f>
        <v>51177.611000000004</v>
      </c>
    </row>
    <row r="25" spans="1:5" ht="12.75">
      <c r="A25" s="2430" t="s">
        <v>295</v>
      </c>
      <c r="B25" s="2431" t="str">
        <f>'Бюд.р.'!A443</f>
        <v>ОБРАЗОВАНИЕ</v>
      </c>
      <c r="C25" s="2430" t="s">
        <v>1171</v>
      </c>
      <c r="D25" s="2430"/>
      <c r="E25" s="2432">
        <f>SUM(E26:E28)</f>
        <v>4007.4970000000003</v>
      </c>
    </row>
    <row r="26" spans="1:5" ht="20.25" customHeight="1">
      <c r="A26" s="2297" t="s">
        <v>672</v>
      </c>
      <c r="B26" s="2435" t="str">
        <f>'Бюд.р.'!A444</f>
        <v>Профессиональная подготовка, переподготовка и повышение квалификации
</v>
      </c>
      <c r="C26" s="2297" t="s">
        <v>1171</v>
      </c>
      <c r="D26" s="2297" t="s">
        <v>1173</v>
      </c>
      <c r="E26" s="2436">
        <f>'Бюд.р.'!H444</f>
        <v>164.40000000000003</v>
      </c>
    </row>
    <row r="27" spans="1:5" ht="12.75">
      <c r="A27" s="2439" t="s">
        <v>737</v>
      </c>
      <c r="B27" s="2437" t="str">
        <f>'Бюд.р.'!A457</f>
        <v>Молодежная политика и оздоровление детей</v>
      </c>
      <c r="C27" s="2297" t="s">
        <v>1171</v>
      </c>
      <c r="D27" s="2297" t="s">
        <v>1171</v>
      </c>
      <c r="E27" s="2436">
        <f>'Бюд.р.'!H457</f>
        <v>3725.087</v>
      </c>
    </row>
    <row r="28" spans="1:5" ht="12.75">
      <c r="A28" s="2439" t="s">
        <v>16</v>
      </c>
      <c r="B28" s="2438" t="str">
        <f>'Бюд.р.'!A493</f>
        <v>Другие вопросы в области образования</v>
      </c>
      <c r="C28" s="2297" t="s">
        <v>1171</v>
      </c>
      <c r="D28" s="2297" t="s">
        <v>1172</v>
      </c>
      <c r="E28" s="2436">
        <f>'Бюд.р.'!H493</f>
        <v>118.01</v>
      </c>
    </row>
    <row r="29" spans="1:5" ht="12.75">
      <c r="A29" s="2433" t="s">
        <v>296</v>
      </c>
      <c r="B29" s="2434" t="str">
        <f>'Бюд.р.'!A509</f>
        <v>КУЛЬТУРА, КИНЕМАТОГРАФИЯ </v>
      </c>
      <c r="C29" s="2430" t="s">
        <v>1191</v>
      </c>
      <c r="D29" s="2430"/>
      <c r="E29" s="2432">
        <f>SUM(E30:E31)</f>
        <v>10849.932</v>
      </c>
    </row>
    <row r="30" spans="1:5" ht="12.75">
      <c r="A30" s="2439" t="s">
        <v>673</v>
      </c>
      <c r="B30" s="2441" t="str">
        <f>'Бюд.р.'!A510</f>
        <v>Культура</v>
      </c>
      <c r="C30" s="2297" t="s">
        <v>1191</v>
      </c>
      <c r="D30" s="2297" t="s">
        <v>1166</v>
      </c>
      <c r="E30" s="2436">
        <f>'Бюд.р.'!H510</f>
        <v>9164.942000000001</v>
      </c>
    </row>
    <row r="31" spans="1:5" ht="12.75">
      <c r="A31" s="2439" t="s">
        <v>738</v>
      </c>
      <c r="B31" s="2440" t="str">
        <f>'Бюд.р.'!A519</f>
        <v>Другие вопросы в области культуры, кинематографии</v>
      </c>
      <c r="C31" s="2297" t="s">
        <v>1191</v>
      </c>
      <c r="D31" s="2439" t="s">
        <v>1169</v>
      </c>
      <c r="E31" s="2436">
        <f>'Бюд.р.'!H519</f>
        <v>1684.9900000000002</v>
      </c>
    </row>
    <row r="32" spans="1:5" ht="12.75">
      <c r="A32" s="2433" t="s">
        <v>297</v>
      </c>
      <c r="B32" s="2434" t="str">
        <f>'Бюд.р.'!A531</f>
        <v>СОЦИАЛЬНАЯ ПОЛИТИКА</v>
      </c>
      <c r="C32" s="2430" t="s">
        <v>372</v>
      </c>
      <c r="D32" s="2430"/>
      <c r="E32" s="2432">
        <f>SUM(E33:E34)</f>
        <v>16354.631000000001</v>
      </c>
    </row>
    <row r="33" spans="1:5" ht="12.75">
      <c r="A33" s="2439" t="s">
        <v>98</v>
      </c>
      <c r="B33" s="2441" t="str">
        <f>'Бюд.р.'!A532</f>
        <v>Социальное обеспечение населения</v>
      </c>
      <c r="C33" s="2297" t="s">
        <v>372</v>
      </c>
      <c r="D33" s="2297" t="s">
        <v>1168</v>
      </c>
      <c r="E33" s="2436">
        <f>'Бюд.р.'!H532</f>
        <v>959.531</v>
      </c>
    </row>
    <row r="34" spans="1:5" ht="12.75">
      <c r="A34" s="2439" t="s">
        <v>1073</v>
      </c>
      <c r="B34" s="2438" t="str">
        <f>'Бюд.р.'!A538</f>
        <v>Охрана семьи и детства</v>
      </c>
      <c r="C34" s="2297" t="s">
        <v>372</v>
      </c>
      <c r="D34" s="2439" t="s">
        <v>1169</v>
      </c>
      <c r="E34" s="2436">
        <f>'Бюд.р.'!H538</f>
        <v>15395.1</v>
      </c>
    </row>
    <row r="35" spans="1:5" ht="12.75">
      <c r="A35" s="2433" t="s">
        <v>740</v>
      </c>
      <c r="B35" s="2434" t="str">
        <f>'Бюд.р.'!A578</f>
        <v> ФИЗИЧЕСКАЯ КУЛЬТУРА И СПОРТ</v>
      </c>
      <c r="C35" s="2430" t="s">
        <v>94</v>
      </c>
      <c r="D35" s="2430"/>
      <c r="E35" s="2432">
        <f>E36</f>
        <v>3380.6850000000004</v>
      </c>
    </row>
    <row r="36" spans="1:5" ht="12.75">
      <c r="A36" s="2439" t="s">
        <v>91</v>
      </c>
      <c r="B36" s="2441" t="str">
        <f>'Бюд.р.'!A579</f>
        <v>Массовый спорт</v>
      </c>
      <c r="C36" s="2297" t="s">
        <v>94</v>
      </c>
      <c r="D36" s="2297" t="s">
        <v>1167</v>
      </c>
      <c r="E36" s="2436">
        <f>'Бюд.р.'!H579</f>
        <v>3380.6850000000004</v>
      </c>
    </row>
    <row r="37" spans="1:5" ht="12.75">
      <c r="A37" s="2433" t="s">
        <v>371</v>
      </c>
      <c r="B37" s="2434" t="str">
        <f>'Бюд.р.'!A592</f>
        <v>СРЕДСТВА МАССОВОЙ ИНФОРМАЦИИ</v>
      </c>
      <c r="C37" s="2430" t="s">
        <v>5</v>
      </c>
      <c r="D37" s="2430"/>
      <c r="E37" s="2432">
        <f>E38</f>
        <v>1464.75</v>
      </c>
    </row>
    <row r="38" spans="1:5" ht="12.75">
      <c r="A38" s="2439" t="s">
        <v>92</v>
      </c>
      <c r="B38" s="2441" t="str">
        <f>'Бюд.р.'!A593</f>
        <v>Периодическая печать и издательства</v>
      </c>
      <c r="C38" s="2297" t="s">
        <v>5</v>
      </c>
      <c r="D38" s="2297" t="s">
        <v>1167</v>
      </c>
      <c r="E38" s="2436">
        <f>'Бюд.р.'!H593</f>
        <v>1464.75</v>
      </c>
    </row>
    <row r="39" spans="1:5" ht="15.75">
      <c r="A39" s="2425"/>
      <c r="B39" s="2426" t="s">
        <v>294</v>
      </c>
      <c r="C39" s="2427"/>
      <c r="D39" s="2428"/>
      <c r="E39" s="2429">
        <f>E12+E18+E20+E23+E25+E29+E32+E35+E37</f>
        <v>121000</v>
      </c>
    </row>
  </sheetData>
  <sheetProtection/>
  <mergeCells count="10">
    <mergeCell ref="B6:E6"/>
    <mergeCell ref="A7:E7"/>
    <mergeCell ref="A8:E8"/>
    <mergeCell ref="B9:E9"/>
    <mergeCell ref="A1:B1"/>
    <mergeCell ref="C1:E1"/>
    <mergeCell ref="A2:E2"/>
    <mergeCell ref="B3:E3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8"/>
  <sheetViews>
    <sheetView view="pageBreakPreview" zoomScaleSheetLayoutView="100" zoomScalePageLayoutView="0" workbookViewId="0" topLeftCell="B3">
      <selection activeCell="C4" sqref="C4:I4"/>
    </sheetView>
  </sheetViews>
  <sheetFormatPr defaultColWidth="9.00390625" defaultRowHeight="12.75"/>
  <cols>
    <col min="1" max="1" width="7.75390625" style="0" hidden="1" customWidth="1"/>
    <col min="2" max="2" width="6.125" style="0" customWidth="1"/>
    <col min="3" max="3" width="50.25390625" style="0" customWidth="1"/>
    <col min="4" max="4" width="7.625" style="0" customWidth="1"/>
    <col min="6" max="6" width="9.375" style="0" customWidth="1"/>
    <col min="7" max="7" width="5.625" style="0" customWidth="1"/>
    <col min="8" max="8" width="8.625" style="0" hidden="1" customWidth="1"/>
    <col min="9" max="9" width="9.25390625" style="0" customWidth="1"/>
    <col min="10" max="10" width="7.125" style="0" hidden="1" customWidth="1"/>
    <col min="11" max="11" width="8.375" style="0" hidden="1" customWidth="1"/>
    <col min="12" max="12" width="9.25390625" style="0" hidden="1" customWidth="1"/>
    <col min="13" max="13" width="8.00390625" style="0" hidden="1" customWidth="1"/>
    <col min="14" max="14" width="0" style="0" hidden="1" customWidth="1"/>
  </cols>
  <sheetData>
    <row r="1" spans="3:13" ht="15.75" hidden="1">
      <c r="C1" s="3118"/>
      <c r="D1" s="3118"/>
      <c r="E1" s="3118"/>
      <c r="F1" s="3118"/>
      <c r="G1" s="3118"/>
      <c r="H1" s="3118"/>
      <c r="I1" s="3118"/>
      <c r="J1" s="16"/>
      <c r="K1" s="16"/>
      <c r="L1" s="16"/>
      <c r="M1" s="16"/>
    </row>
    <row r="2" spans="3:13" ht="15.75" hidden="1">
      <c r="C2" s="3118" t="str">
        <f>'Бюд.р.'!D118</f>
        <v> Утверждено Распоряжением МА МО Озеро Долгое</v>
      </c>
      <c r="D2" s="3118"/>
      <c r="E2" s="3118"/>
      <c r="F2" s="3118"/>
      <c r="G2" s="3118"/>
      <c r="H2" s="3118"/>
      <c r="I2" s="3118"/>
      <c r="J2" s="16"/>
      <c r="K2" s="16"/>
      <c r="L2" s="16"/>
      <c r="M2" s="16"/>
    </row>
    <row r="3" spans="3:13" ht="15.75">
      <c r="C3" s="3119" t="str">
        <f>'Бюд.р.'!D119</f>
        <v>№ 02-03-01 от 12.01.2015</v>
      </c>
      <c r="D3" s="3118"/>
      <c r="E3" s="3118"/>
      <c r="F3" s="3118"/>
      <c r="G3" s="3118"/>
      <c r="H3" s="3118"/>
      <c r="I3" s="3118"/>
      <c r="J3" s="16"/>
      <c r="K3" s="16"/>
      <c r="L3" s="16"/>
      <c r="M3" s="16"/>
    </row>
    <row r="4" spans="3:13" ht="15.75">
      <c r="C4" s="3115" t="str">
        <f>'Бюд.р.'!D120</f>
        <v>№ 02-03-02 от 14.01.2015</v>
      </c>
      <c r="D4" s="3115"/>
      <c r="E4" s="3115"/>
      <c r="F4" s="3115"/>
      <c r="G4" s="3115"/>
      <c r="H4" s="3115"/>
      <c r="I4" s="3115"/>
      <c r="J4" s="16"/>
      <c r="K4" s="16"/>
      <c r="L4" s="16"/>
      <c r="M4" s="16"/>
    </row>
    <row r="5" spans="3:13" ht="15.75">
      <c r="C5" s="3115" t="str">
        <f>'Бюд.р.'!D121</f>
        <v>№ 02-03-03 от 30.01.2015</v>
      </c>
      <c r="D5" s="3115"/>
      <c r="E5" s="3115"/>
      <c r="F5" s="3115"/>
      <c r="G5" s="3115"/>
      <c r="H5" s="3115"/>
      <c r="I5" s="3115"/>
      <c r="J5" s="16"/>
      <c r="K5" s="16"/>
      <c r="L5" s="16"/>
      <c r="M5" s="16"/>
    </row>
    <row r="6" spans="3:13" ht="15.75" customHeight="1" hidden="1">
      <c r="C6" s="3115" t="e">
        <f>'Бюд.р.'!#REF!</f>
        <v>#REF!</v>
      </c>
      <c r="D6" s="3115"/>
      <c r="E6" s="3115"/>
      <c r="F6" s="3115"/>
      <c r="G6" s="3115"/>
      <c r="H6" s="3115"/>
      <c r="I6" s="3115"/>
      <c r="J6" s="16"/>
      <c r="K6" s="16"/>
      <c r="L6" s="16"/>
      <c r="M6" s="16"/>
    </row>
    <row r="7" spans="3:13" ht="15.75" customHeight="1" hidden="1">
      <c r="C7" s="3115">
        <f>'Бюд.р.'!D140</f>
        <v>0</v>
      </c>
      <c r="D7" s="3115"/>
      <c r="E7" s="3115"/>
      <c r="F7" s="3115"/>
      <c r="G7" s="3115"/>
      <c r="H7" s="3115"/>
      <c r="I7" s="3115"/>
      <c r="J7" s="16"/>
      <c r="K7" s="16"/>
      <c r="L7" s="16"/>
      <c r="M7" s="16"/>
    </row>
    <row r="8" spans="3:13" ht="15.75" customHeight="1" hidden="1">
      <c r="C8" s="3115">
        <f>'Бюд.р.'!D141</f>
        <v>0</v>
      </c>
      <c r="D8" s="3115"/>
      <c r="E8" s="3115"/>
      <c r="F8" s="3115"/>
      <c r="G8" s="3115"/>
      <c r="H8" s="3115"/>
      <c r="I8" s="3115"/>
      <c r="J8" s="16"/>
      <c r="K8" s="16"/>
      <c r="L8" s="16"/>
      <c r="M8" s="16"/>
    </row>
    <row r="9" spans="3:13" ht="15.75" customHeight="1" hidden="1">
      <c r="C9" s="3115" t="str">
        <f>'Бюд.р.'!D142</f>
        <v>к бюджету от 23.10.2013</v>
      </c>
      <c r="D9" s="3115"/>
      <c r="E9" s="3115"/>
      <c r="F9" s="3115"/>
      <c r="G9" s="3115"/>
      <c r="H9" s="3115"/>
      <c r="I9" s="3115"/>
      <c r="J9" s="16"/>
      <c r="K9" s="16"/>
      <c r="L9" s="16"/>
      <c r="M9" s="16"/>
    </row>
    <row r="10" spans="3:13" ht="15.75" customHeight="1" hidden="1">
      <c r="C10" s="3115" t="str">
        <f>'Бюд.р.'!D143</f>
        <v>к бюджету от 19.02.2014</v>
      </c>
      <c r="D10" s="3115"/>
      <c r="E10" s="3115"/>
      <c r="F10" s="3115"/>
      <c r="G10" s="3115"/>
      <c r="H10" s="3115"/>
      <c r="I10" s="3115"/>
      <c r="J10" s="16"/>
      <c r="K10" s="16"/>
      <c r="L10" s="16"/>
      <c r="M10" s="16"/>
    </row>
    <row r="11" spans="3:13" ht="15.75" customHeight="1" hidden="1">
      <c r="C11" s="3115" t="str">
        <f>'Бюд.р.'!D144</f>
        <v>к бюджету от 23.04.2014</v>
      </c>
      <c r="D11" s="3115"/>
      <c r="E11" s="3115"/>
      <c r="F11" s="3115"/>
      <c r="G11" s="3115"/>
      <c r="H11" s="3115"/>
      <c r="I11" s="3115"/>
      <c r="J11" s="16"/>
      <c r="K11" s="16"/>
      <c r="L11" s="16"/>
      <c r="M11" s="16"/>
    </row>
    <row r="12" spans="3:13" ht="15.75" customHeight="1" hidden="1">
      <c r="C12" s="3115" t="str">
        <f>'Бюд.р.'!D145</f>
        <v>к бюджету от 14.05.2014</v>
      </c>
      <c r="D12" s="3115"/>
      <c r="E12" s="3115"/>
      <c r="F12" s="3115"/>
      <c r="G12" s="3115"/>
      <c r="H12" s="3115"/>
      <c r="I12" s="3115"/>
      <c r="J12" s="16"/>
      <c r="K12" s="16"/>
      <c r="L12" s="16"/>
      <c r="M12" s="16"/>
    </row>
    <row r="13" spans="3:13" ht="15.75" customHeight="1" hidden="1">
      <c r="C13" s="3115">
        <f>'Бюд.р.'!D146</f>
        <v>0</v>
      </c>
      <c r="D13" s="3115"/>
      <c r="E13" s="3115"/>
      <c r="F13" s="3115"/>
      <c r="G13" s="3115"/>
      <c r="H13" s="3115"/>
      <c r="I13" s="3115"/>
      <c r="J13" s="16"/>
      <c r="K13" s="16"/>
      <c r="L13" s="16"/>
      <c r="M13" s="16"/>
    </row>
    <row r="14" spans="3:13" ht="15.75" customHeight="1" hidden="1">
      <c r="C14" s="3115">
        <f>'Бюд.р.'!D147</f>
        <v>0</v>
      </c>
      <c r="D14" s="3115"/>
      <c r="E14" s="3115"/>
      <c r="F14" s="3115"/>
      <c r="G14" s="3115"/>
      <c r="H14" s="3115"/>
      <c r="I14" s="3115"/>
      <c r="J14" s="16"/>
      <c r="K14" s="16"/>
      <c r="L14" s="16"/>
      <c r="M14" s="16"/>
    </row>
    <row r="15" spans="3:13" ht="15.75" customHeight="1" hidden="1">
      <c r="C15" s="3115">
        <f>'Бюд.р.'!D148</f>
        <v>0</v>
      </c>
      <c r="D15" s="3115"/>
      <c r="E15" s="3115"/>
      <c r="F15" s="3115"/>
      <c r="G15" s="3115"/>
      <c r="H15" s="3115"/>
      <c r="I15" s="3115"/>
      <c r="J15" s="16"/>
      <c r="K15" s="16"/>
      <c r="L15" s="16"/>
      <c r="M15" s="16"/>
    </row>
    <row r="16" spans="3:13" ht="15.75" customHeight="1" hidden="1">
      <c r="C16" s="3115">
        <f>'Бюд.р.'!D152</f>
        <v>0</v>
      </c>
      <c r="D16" s="3115"/>
      <c r="E16" s="3115"/>
      <c r="F16" s="3115"/>
      <c r="G16" s="3115"/>
      <c r="H16" s="3115"/>
      <c r="I16" s="3115"/>
      <c r="J16" s="16"/>
      <c r="K16" s="16"/>
      <c r="L16" s="16"/>
      <c r="M16" s="16"/>
    </row>
    <row r="17" spans="3:13" ht="15.75" customHeight="1" hidden="1">
      <c r="C17" s="3115" t="str">
        <f>'Бюд.р.'!D153</f>
        <v>КОД ЦЕЛЕВОЙ СТАТЬИ</v>
      </c>
      <c r="D17" s="3115"/>
      <c r="E17" s="3115"/>
      <c r="F17" s="3115"/>
      <c r="G17" s="3115"/>
      <c r="H17" s="3115"/>
      <c r="I17" s="3115"/>
      <c r="J17" s="16"/>
      <c r="K17" s="16"/>
      <c r="L17" s="16"/>
      <c r="M17" s="16"/>
    </row>
    <row r="18" spans="3:13" ht="15.75" customHeight="1" hidden="1">
      <c r="C18" s="3115">
        <f>'Бюд.р.'!D154</f>
        <v>4</v>
      </c>
      <c r="D18" s="3115"/>
      <c r="E18" s="3115"/>
      <c r="F18" s="3115"/>
      <c r="G18" s="3115"/>
      <c r="H18" s="3115"/>
      <c r="I18" s="3115"/>
      <c r="J18" s="16"/>
      <c r="K18" s="16"/>
      <c r="L18" s="16"/>
      <c r="M18" s="16"/>
    </row>
    <row r="19" spans="3:13" ht="15.75" hidden="1">
      <c r="C19" s="3115" t="e">
        <f>'Бюд.р.'!#REF!</f>
        <v>#REF!</v>
      </c>
      <c r="D19" s="3115"/>
      <c r="E19" s="3115"/>
      <c r="F19" s="3115"/>
      <c r="G19" s="3115"/>
      <c r="H19" s="3115"/>
      <c r="I19" s="3115"/>
      <c r="J19" s="16"/>
      <c r="K19" s="16"/>
      <c r="L19" s="16"/>
      <c r="M19" s="16"/>
    </row>
    <row r="20" spans="3:13" ht="15.75" hidden="1">
      <c r="C20" s="3115" t="str">
        <f>'Бюд.р.'!D123</f>
        <v>№ 02-03-05 от 24.02.2015</v>
      </c>
      <c r="D20" s="3115"/>
      <c r="E20" s="3115"/>
      <c r="F20" s="3115"/>
      <c r="G20" s="3115"/>
      <c r="H20" s="3115"/>
      <c r="I20" s="3115"/>
      <c r="J20" s="16"/>
      <c r="K20" s="16"/>
      <c r="L20" s="16"/>
      <c r="M20" s="16"/>
    </row>
    <row r="21" spans="3:13" ht="15.75" hidden="1">
      <c r="C21" s="3115" t="str">
        <f>'Бюд.р.'!D124</f>
        <v>№ 02-03-06 от 10.03.2015</v>
      </c>
      <c r="D21" s="3115"/>
      <c r="E21" s="3115"/>
      <c r="F21" s="3115"/>
      <c r="G21" s="3115"/>
      <c r="H21" s="3115"/>
      <c r="I21" s="3115"/>
      <c r="J21" s="16"/>
      <c r="K21" s="16"/>
      <c r="L21" s="16"/>
      <c r="M21" s="16"/>
    </row>
    <row r="22" spans="3:13" ht="15.75" hidden="1">
      <c r="C22" s="3115" t="str">
        <f>'Бюд.р.'!D125</f>
        <v>№ 02-03-07 от 25.03.2015</v>
      </c>
      <c r="D22" s="3115"/>
      <c r="E22" s="3115"/>
      <c r="F22" s="3115"/>
      <c r="G22" s="3115"/>
      <c r="H22" s="3115"/>
      <c r="I22" s="3115"/>
      <c r="J22" s="16"/>
      <c r="K22" s="16"/>
      <c r="L22" s="16"/>
      <c r="M22" s="16"/>
    </row>
    <row r="23" spans="3:13" ht="15.75" hidden="1">
      <c r="C23" s="3115" t="str">
        <f>'Бюд.р.'!D126</f>
        <v>№ 02-03-08 от 21.04.2015</v>
      </c>
      <c r="D23" s="3115"/>
      <c r="E23" s="3115"/>
      <c r="F23" s="3115"/>
      <c r="G23" s="3115"/>
      <c r="H23" s="3115"/>
      <c r="I23" s="3115"/>
      <c r="J23" s="16"/>
      <c r="K23" s="16"/>
      <c r="L23" s="16"/>
      <c r="M23" s="16"/>
    </row>
    <row r="24" spans="3:13" ht="15.75" hidden="1">
      <c r="C24" s="3115" t="str">
        <f>'Бюд.р.'!D127</f>
        <v>№ 02-03-09 от 29.04.2015</v>
      </c>
      <c r="D24" s="3115"/>
      <c r="E24" s="3115"/>
      <c r="F24" s="3115"/>
      <c r="G24" s="3115"/>
      <c r="H24" s="3115"/>
      <c r="I24" s="3115"/>
      <c r="J24" s="16"/>
      <c r="K24" s="16"/>
      <c r="L24" s="16"/>
      <c r="M24" s="16"/>
    </row>
    <row r="25" spans="2:13" ht="18.75">
      <c r="B25" s="3116" t="s">
        <v>172</v>
      </c>
      <c r="C25" s="3116"/>
      <c r="D25" s="3116"/>
      <c r="E25" s="3116"/>
      <c r="F25" s="3116"/>
      <c r="G25" s="3116"/>
      <c r="H25" s="3116"/>
      <c r="I25" s="3116"/>
      <c r="J25" s="16"/>
      <c r="K25" s="16"/>
      <c r="L25" s="16"/>
      <c r="M25" s="16"/>
    </row>
    <row r="26" spans="1:13" ht="18.75">
      <c r="A26" s="122"/>
      <c r="B26" s="3121" t="s">
        <v>917</v>
      </c>
      <c r="C26" s="3121"/>
      <c r="D26" s="3121"/>
      <c r="E26" s="3121"/>
      <c r="F26" s="3121"/>
      <c r="G26" s="3121"/>
      <c r="H26" s="3121"/>
      <c r="I26" s="3121"/>
      <c r="J26" s="122"/>
      <c r="K26" s="122"/>
      <c r="L26" s="122"/>
      <c r="M26" s="122"/>
    </row>
    <row r="27" spans="1:13" ht="19.5" thickBot="1">
      <c r="A27" s="122"/>
      <c r="B27" s="122"/>
      <c r="C27" s="3120" t="s">
        <v>218</v>
      </c>
      <c r="D27" s="3120"/>
      <c r="E27" s="3120"/>
      <c r="F27" s="3120"/>
      <c r="G27" s="3120"/>
      <c r="H27" s="3120"/>
      <c r="I27" s="3120"/>
      <c r="J27" s="271"/>
      <c r="K27" s="271"/>
      <c r="L27" s="271"/>
      <c r="M27" s="271"/>
    </row>
    <row r="28" spans="1:13" ht="39.75" thickBot="1">
      <c r="A28" s="57" t="s">
        <v>99</v>
      </c>
      <c r="B28" s="43" t="s">
        <v>794</v>
      </c>
      <c r="C28" s="24" t="s">
        <v>219</v>
      </c>
      <c r="D28" s="44" t="s">
        <v>444</v>
      </c>
      <c r="E28" s="169" t="s">
        <v>232</v>
      </c>
      <c r="F28" s="169" t="s">
        <v>230</v>
      </c>
      <c r="G28" s="169" t="s">
        <v>101</v>
      </c>
      <c r="H28" s="29" t="s">
        <v>231</v>
      </c>
      <c r="I28" s="200" t="s">
        <v>268</v>
      </c>
      <c r="J28" s="203" t="s">
        <v>771</v>
      </c>
      <c r="K28" s="204" t="s">
        <v>772</v>
      </c>
      <c r="L28" s="204" t="s">
        <v>760</v>
      </c>
      <c r="M28" s="237" t="s">
        <v>761</v>
      </c>
    </row>
    <row r="29" spans="1:13" ht="12.75">
      <c r="A29" s="89">
        <v>1</v>
      </c>
      <c r="B29" s="270" t="s">
        <v>678</v>
      </c>
      <c r="C29" s="714">
        <v>2</v>
      </c>
      <c r="D29" s="691" t="s">
        <v>472</v>
      </c>
      <c r="E29" s="692" t="s">
        <v>614</v>
      </c>
      <c r="F29" s="692" t="s">
        <v>295</v>
      </c>
      <c r="G29" s="693" t="s">
        <v>296</v>
      </c>
      <c r="H29" s="1046" t="s">
        <v>296</v>
      </c>
      <c r="I29" s="273">
        <v>7</v>
      </c>
      <c r="J29" s="274">
        <v>8</v>
      </c>
      <c r="K29" s="275">
        <v>9</v>
      </c>
      <c r="L29" s="275">
        <v>10</v>
      </c>
      <c r="M29" s="276">
        <v>11</v>
      </c>
    </row>
    <row r="30" spans="1:13" ht="16.5" hidden="1" thickBot="1">
      <c r="A30" s="132" t="s">
        <v>607</v>
      </c>
      <c r="B30" s="252"/>
      <c r="C30" s="715" t="s">
        <v>102</v>
      </c>
      <c r="D30" s="694"/>
      <c r="E30" s="162" t="s">
        <v>449</v>
      </c>
      <c r="F30" s="163"/>
      <c r="G30" s="695"/>
      <c r="H30" s="1047"/>
      <c r="I30" s="226"/>
      <c r="J30" s="214"/>
      <c r="K30" s="164"/>
      <c r="L30" s="164"/>
      <c r="M30" s="238"/>
    </row>
    <row r="31" spans="1:13" ht="40.5" customHeight="1" hidden="1" thickBot="1">
      <c r="A31" s="133" t="s">
        <v>103</v>
      </c>
      <c r="B31" s="11"/>
      <c r="C31" s="716" t="s">
        <v>720</v>
      </c>
      <c r="D31" s="696"/>
      <c r="E31" s="9" t="s">
        <v>277</v>
      </c>
      <c r="F31" s="9"/>
      <c r="G31" s="697"/>
      <c r="H31" s="1048"/>
      <c r="I31" s="227"/>
      <c r="J31" s="215"/>
      <c r="K31" s="205"/>
      <c r="L31" s="205"/>
      <c r="M31" s="239"/>
    </row>
    <row r="32" spans="1:13" ht="31.5" customHeight="1" thickBot="1">
      <c r="A32" s="133"/>
      <c r="B32" s="975"/>
      <c r="C32" s="967" t="s">
        <v>514</v>
      </c>
      <c r="D32" s="968" t="s">
        <v>83</v>
      </c>
      <c r="E32" s="976"/>
      <c r="F32" s="976"/>
      <c r="G32" s="977"/>
      <c r="H32" s="1049"/>
      <c r="I32" s="978">
        <f>I33</f>
        <v>3422.8500000000004</v>
      </c>
      <c r="J32" s="216" t="e">
        <f>J33+J122+J159+J203+J207+J226+#REF!+J237</f>
        <v>#REF!</v>
      </c>
      <c r="K32" s="208" t="e">
        <f>K33+K122+K159+K203+K207+K226+#REF!+K237</f>
        <v>#REF!</v>
      </c>
      <c r="L32" s="208" t="e">
        <f>L33+L122+L159+L203+L207+L226+#REF!+L237</f>
        <v>#REF!</v>
      </c>
      <c r="M32" s="240" t="e">
        <f>M33+M122+M159+M203+M207+M226+#REF!+M237</f>
        <v>#REF!</v>
      </c>
    </row>
    <row r="33" spans="1:13" ht="14.25" customHeight="1" thickBot="1">
      <c r="A33" s="133"/>
      <c r="B33" s="796" t="s">
        <v>607</v>
      </c>
      <c r="C33" s="850" t="s">
        <v>102</v>
      </c>
      <c r="D33" s="797" t="s">
        <v>83</v>
      </c>
      <c r="E33" s="798" t="s">
        <v>457</v>
      </c>
      <c r="F33" s="798"/>
      <c r="G33" s="799"/>
      <c r="H33" s="1050"/>
      <c r="I33" s="800">
        <f>SUM(I34,I42)</f>
        <v>3422.8500000000004</v>
      </c>
      <c r="J33" s="224" t="e">
        <f>J34+J42+J67+J100</f>
        <v>#REF!</v>
      </c>
      <c r="K33" s="209" t="e">
        <f>K34+K42+K67+K100</f>
        <v>#REF!</v>
      </c>
      <c r="L33" s="209" t="e">
        <f>L34+L42+L67+L100</f>
        <v>#REF!</v>
      </c>
      <c r="M33" s="247" t="e">
        <f>M34+M42+M67+M100</f>
        <v>#REF!</v>
      </c>
    </row>
    <row r="34" spans="1:13" ht="46.5" customHeight="1">
      <c r="A34" s="133"/>
      <c r="B34" s="898" t="s">
        <v>678</v>
      </c>
      <c r="C34" s="845" t="s">
        <v>132</v>
      </c>
      <c r="D34" s="846" t="s">
        <v>83</v>
      </c>
      <c r="E34" s="847" t="s">
        <v>456</v>
      </c>
      <c r="F34" s="847"/>
      <c r="G34" s="848"/>
      <c r="H34" s="1051"/>
      <c r="I34" s="849">
        <f aca="true" t="shared" si="0" ref="I34:M35">I35</f>
        <v>1148.509</v>
      </c>
      <c r="J34" s="217">
        <f t="shared" si="0"/>
        <v>164.7</v>
      </c>
      <c r="K34" s="93">
        <f t="shared" si="0"/>
        <v>164.8</v>
      </c>
      <c r="L34" s="93">
        <f t="shared" si="0"/>
        <v>164.7</v>
      </c>
      <c r="M34" s="241">
        <f t="shared" si="0"/>
        <v>164.7</v>
      </c>
    </row>
    <row r="35" spans="1:13" ht="17.25" customHeight="1">
      <c r="A35" s="134" t="s">
        <v>245</v>
      </c>
      <c r="B35" s="23" t="s">
        <v>245</v>
      </c>
      <c r="C35" s="717" t="s">
        <v>459</v>
      </c>
      <c r="D35" s="599" t="s">
        <v>83</v>
      </c>
      <c r="E35" s="10" t="s">
        <v>456</v>
      </c>
      <c r="F35" s="10" t="s">
        <v>460</v>
      </c>
      <c r="G35" s="600"/>
      <c r="H35" s="659"/>
      <c r="I35" s="228">
        <f t="shared" si="0"/>
        <v>1148.509</v>
      </c>
      <c r="J35" s="218">
        <f t="shared" si="0"/>
        <v>164.7</v>
      </c>
      <c r="K35" s="127">
        <f t="shared" si="0"/>
        <v>164.8</v>
      </c>
      <c r="L35" s="127">
        <f t="shared" si="0"/>
        <v>164.7</v>
      </c>
      <c r="M35" s="242">
        <f t="shared" si="0"/>
        <v>164.7</v>
      </c>
    </row>
    <row r="36" spans="1:13" ht="22.5">
      <c r="A36" s="135" t="s">
        <v>182</v>
      </c>
      <c r="B36" s="6" t="s">
        <v>182</v>
      </c>
      <c r="C36" s="884" t="s">
        <v>918</v>
      </c>
      <c r="D36" s="601" t="s">
        <v>83</v>
      </c>
      <c r="E36" s="123" t="s">
        <v>456</v>
      </c>
      <c r="F36" s="123" t="s">
        <v>460</v>
      </c>
      <c r="G36" s="602" t="s">
        <v>924</v>
      </c>
      <c r="H36" s="660"/>
      <c r="I36" s="229">
        <f>'Бюд.р.'!H60</f>
        <v>1148.509</v>
      </c>
      <c r="J36" s="219">
        <v>164.7</v>
      </c>
      <c r="K36" s="130">
        <v>164.8</v>
      </c>
      <c r="L36" s="130">
        <v>164.7</v>
      </c>
      <c r="M36" s="243">
        <v>164.7</v>
      </c>
    </row>
    <row r="37" spans="1:13" ht="24" hidden="1">
      <c r="A37" s="136" t="s">
        <v>183</v>
      </c>
      <c r="B37" s="12"/>
      <c r="C37" s="717" t="s">
        <v>240</v>
      </c>
      <c r="D37" s="599"/>
      <c r="E37" s="30" t="s">
        <v>277</v>
      </c>
      <c r="F37" s="30" t="s">
        <v>104</v>
      </c>
      <c r="G37" s="603" t="s">
        <v>721</v>
      </c>
      <c r="H37" s="661" t="s">
        <v>241</v>
      </c>
      <c r="I37" s="201"/>
      <c r="J37" s="220"/>
      <c r="K37" s="176"/>
      <c r="L37" s="176"/>
      <c r="M37" s="210"/>
    </row>
    <row r="38" spans="1:13" ht="12.75" hidden="1">
      <c r="A38" s="137" t="s">
        <v>184</v>
      </c>
      <c r="B38" s="6"/>
      <c r="C38" s="719" t="s">
        <v>256</v>
      </c>
      <c r="D38" s="604"/>
      <c r="E38" s="7" t="s">
        <v>277</v>
      </c>
      <c r="F38" s="7" t="s">
        <v>104</v>
      </c>
      <c r="G38" s="605" t="s">
        <v>721</v>
      </c>
      <c r="H38" s="662" t="s">
        <v>244</v>
      </c>
      <c r="I38" s="201"/>
      <c r="J38" s="220"/>
      <c r="K38" s="176"/>
      <c r="L38" s="176"/>
      <c r="M38" s="210"/>
    </row>
    <row r="39" spans="1:13" ht="12.75" hidden="1">
      <c r="A39" s="137" t="s">
        <v>185</v>
      </c>
      <c r="B39" s="6"/>
      <c r="C39" s="720" t="s">
        <v>105</v>
      </c>
      <c r="D39" s="606"/>
      <c r="E39" s="5" t="s">
        <v>277</v>
      </c>
      <c r="F39" s="5" t="s">
        <v>104</v>
      </c>
      <c r="G39" s="607" t="s">
        <v>721</v>
      </c>
      <c r="H39" s="663" t="s">
        <v>251</v>
      </c>
      <c r="I39" s="201"/>
      <c r="J39" s="220"/>
      <c r="K39" s="176"/>
      <c r="L39" s="176"/>
      <c r="M39" s="210"/>
    </row>
    <row r="40" spans="1:13" ht="12.75" hidden="1">
      <c r="A40" s="137" t="s">
        <v>186</v>
      </c>
      <c r="B40" s="6"/>
      <c r="C40" s="720" t="s">
        <v>106</v>
      </c>
      <c r="D40" s="606"/>
      <c r="E40" s="5" t="s">
        <v>277</v>
      </c>
      <c r="F40" s="5" t="s">
        <v>104</v>
      </c>
      <c r="G40" s="607" t="s">
        <v>721</v>
      </c>
      <c r="H40" s="663" t="s">
        <v>252</v>
      </c>
      <c r="I40" s="201"/>
      <c r="J40" s="220"/>
      <c r="K40" s="176"/>
      <c r="L40" s="176"/>
      <c r="M40" s="210"/>
    </row>
    <row r="41" spans="1:13" ht="38.25" hidden="1">
      <c r="A41" s="133" t="s">
        <v>107</v>
      </c>
      <c r="B41" s="253"/>
      <c r="C41" s="721" t="s">
        <v>674</v>
      </c>
      <c r="D41" s="608"/>
      <c r="E41" s="126" t="s">
        <v>254</v>
      </c>
      <c r="F41" s="126"/>
      <c r="G41" s="609"/>
      <c r="H41" s="664"/>
      <c r="I41" s="201"/>
      <c r="J41" s="220"/>
      <c r="K41" s="176"/>
      <c r="L41" s="176"/>
      <c r="M41" s="210"/>
    </row>
    <row r="42" spans="1:13" ht="60" customHeight="1">
      <c r="A42" s="133"/>
      <c r="B42" s="272" t="s">
        <v>768</v>
      </c>
      <c r="C42" s="722" t="s">
        <v>853</v>
      </c>
      <c r="D42" s="696" t="s">
        <v>83</v>
      </c>
      <c r="E42" s="9" t="s">
        <v>474</v>
      </c>
      <c r="F42" s="9"/>
      <c r="G42" s="697"/>
      <c r="H42" s="1048"/>
      <c r="I42" s="212">
        <f>I43+I48</f>
        <v>2274.3410000000003</v>
      </c>
      <c r="J42" s="217" t="e">
        <f>J43+#REF!</f>
        <v>#REF!</v>
      </c>
      <c r="K42" s="93" t="e">
        <f>K43+#REF!</f>
        <v>#REF!</v>
      </c>
      <c r="L42" s="93" t="e">
        <f>L43+#REF!</f>
        <v>#REF!</v>
      </c>
      <c r="M42" s="241" t="e">
        <f>M43+#REF!</f>
        <v>#REF!</v>
      </c>
    </row>
    <row r="43" spans="1:13" ht="24.75" customHeight="1">
      <c r="A43" s="134" t="s">
        <v>280</v>
      </c>
      <c r="B43" s="253" t="s">
        <v>280</v>
      </c>
      <c r="C43" s="717" t="s">
        <v>478</v>
      </c>
      <c r="D43" s="599" t="s">
        <v>83</v>
      </c>
      <c r="E43" s="10" t="s">
        <v>474</v>
      </c>
      <c r="F43" s="10" t="s">
        <v>45</v>
      </c>
      <c r="G43" s="600"/>
      <c r="H43" s="659"/>
      <c r="I43" s="230">
        <f>I44+I46</f>
        <v>200</v>
      </c>
      <c r="J43" s="218">
        <f>J45</f>
        <v>151.5</v>
      </c>
      <c r="K43" s="127">
        <f>K45</f>
        <v>151.6</v>
      </c>
      <c r="L43" s="127">
        <f>L45</f>
        <v>151.5</v>
      </c>
      <c r="M43" s="242">
        <f>M45</f>
        <v>151.5</v>
      </c>
    </row>
    <row r="44" spans="1:13" ht="24.75" customHeight="1">
      <c r="A44" s="134"/>
      <c r="B44" s="23" t="s">
        <v>187</v>
      </c>
      <c r="C44" s="717" t="s">
        <v>46</v>
      </c>
      <c r="D44" s="599" t="s">
        <v>83</v>
      </c>
      <c r="E44" s="10" t="s">
        <v>474</v>
      </c>
      <c r="F44" s="10" t="s">
        <v>47</v>
      </c>
      <c r="G44" s="600"/>
      <c r="H44" s="659"/>
      <c r="I44" s="230">
        <f>I45</f>
        <v>100</v>
      </c>
      <c r="J44" s="218"/>
      <c r="K44" s="127"/>
      <c r="L44" s="127"/>
      <c r="M44" s="242"/>
    </row>
    <row r="45" spans="1:13" ht="22.5" customHeight="1">
      <c r="A45" s="134"/>
      <c r="B45" s="6" t="s">
        <v>188</v>
      </c>
      <c r="C45" s="884" t="s">
        <v>918</v>
      </c>
      <c r="D45" s="601" t="s">
        <v>83</v>
      </c>
      <c r="E45" s="123" t="s">
        <v>474</v>
      </c>
      <c r="F45" s="123" t="s">
        <v>47</v>
      </c>
      <c r="G45" s="602" t="s">
        <v>924</v>
      </c>
      <c r="H45" s="659"/>
      <c r="I45" s="229">
        <f>'ВЕД.СТ Пр.2.'!K28</f>
        <v>100</v>
      </c>
      <c r="J45" s="219">
        <v>151.5</v>
      </c>
      <c r="K45" s="130">
        <v>151.6</v>
      </c>
      <c r="L45" s="130">
        <v>151.5</v>
      </c>
      <c r="M45" s="243">
        <v>151.5</v>
      </c>
    </row>
    <row r="46" spans="1:13" ht="27" customHeight="1">
      <c r="A46" s="134"/>
      <c r="B46" s="23" t="s">
        <v>502</v>
      </c>
      <c r="C46" s="1092" t="s">
        <v>935</v>
      </c>
      <c r="D46" s="599" t="s">
        <v>83</v>
      </c>
      <c r="E46" s="10" t="s">
        <v>474</v>
      </c>
      <c r="F46" s="10" t="s">
        <v>49</v>
      </c>
      <c r="G46" s="610"/>
      <c r="H46" s="659"/>
      <c r="I46" s="230">
        <f>I47</f>
        <v>100</v>
      </c>
      <c r="J46" s="218">
        <f>J47</f>
        <v>138.4</v>
      </c>
      <c r="K46" s="127">
        <f>K47</f>
        <v>138.3</v>
      </c>
      <c r="L46" s="127">
        <f>L47</f>
        <v>138.4</v>
      </c>
      <c r="M46" s="242">
        <f>M47</f>
        <v>138.3</v>
      </c>
    </row>
    <row r="47" spans="1:13" ht="12.75" customHeight="1">
      <c r="A47" s="134"/>
      <c r="B47" s="6" t="s">
        <v>189</v>
      </c>
      <c r="C47" s="646" t="s">
        <v>920</v>
      </c>
      <c r="D47" s="601" t="s">
        <v>83</v>
      </c>
      <c r="E47" s="123" t="s">
        <v>474</v>
      </c>
      <c r="F47" s="123" t="s">
        <v>49</v>
      </c>
      <c r="G47" s="602" t="s">
        <v>764</v>
      </c>
      <c r="H47" s="659"/>
      <c r="I47" s="229">
        <f>'ВЕД.СТ Пр.2.'!K35</f>
        <v>100</v>
      </c>
      <c r="J47" s="219">
        <v>138.4</v>
      </c>
      <c r="K47" s="130">
        <v>138.3</v>
      </c>
      <c r="L47" s="130">
        <v>138.4</v>
      </c>
      <c r="M47" s="243">
        <v>138.3</v>
      </c>
    </row>
    <row r="48" spans="1:13" ht="24.75" customHeight="1">
      <c r="A48" s="135" t="s">
        <v>88</v>
      </c>
      <c r="B48" s="253" t="s">
        <v>197</v>
      </c>
      <c r="C48" s="723" t="s">
        <v>44</v>
      </c>
      <c r="D48" s="599" t="s">
        <v>83</v>
      </c>
      <c r="E48" s="10" t="s">
        <v>474</v>
      </c>
      <c r="F48" s="10" t="s">
        <v>475</v>
      </c>
      <c r="G48" s="600"/>
      <c r="H48" s="659"/>
      <c r="I48" s="230">
        <f>SUM(I54:I56)</f>
        <v>2074.3410000000003</v>
      </c>
      <c r="J48" s="218">
        <f>J54</f>
        <v>36.8</v>
      </c>
      <c r="K48" s="127">
        <f>K54</f>
        <v>36.7</v>
      </c>
      <c r="L48" s="127">
        <f>L54</f>
        <v>36.7</v>
      </c>
      <c r="M48" s="242">
        <f>M54</f>
        <v>36.7</v>
      </c>
    </row>
    <row r="49" spans="1:13" ht="12.75" hidden="1">
      <c r="A49" s="136" t="s">
        <v>188</v>
      </c>
      <c r="B49" s="254"/>
      <c r="C49" s="717" t="s">
        <v>240</v>
      </c>
      <c r="D49" s="611"/>
      <c r="E49" s="7" t="s">
        <v>254</v>
      </c>
      <c r="F49" s="7" t="s">
        <v>104</v>
      </c>
      <c r="G49" s="605" t="s">
        <v>238</v>
      </c>
      <c r="H49" s="662" t="s">
        <v>241</v>
      </c>
      <c r="I49" s="201"/>
      <c r="J49" s="219"/>
      <c r="K49" s="130"/>
      <c r="L49" s="130"/>
      <c r="M49" s="243"/>
    </row>
    <row r="50" spans="1:13" ht="12.75" hidden="1">
      <c r="A50" s="137" t="s">
        <v>190</v>
      </c>
      <c r="B50" s="6"/>
      <c r="C50" s="719" t="s">
        <v>256</v>
      </c>
      <c r="D50" s="604"/>
      <c r="E50" s="7" t="s">
        <v>254</v>
      </c>
      <c r="F50" s="7" t="s">
        <v>104</v>
      </c>
      <c r="G50" s="605" t="s">
        <v>238</v>
      </c>
      <c r="H50" s="662" t="s">
        <v>244</v>
      </c>
      <c r="I50" s="201"/>
      <c r="J50" s="219"/>
      <c r="K50" s="130"/>
      <c r="L50" s="130"/>
      <c r="M50" s="243"/>
    </row>
    <row r="51" spans="1:13" ht="12.75" hidden="1">
      <c r="A51" s="137" t="s">
        <v>185</v>
      </c>
      <c r="B51" s="6"/>
      <c r="C51" s="720" t="s">
        <v>105</v>
      </c>
      <c r="D51" s="606"/>
      <c r="E51" s="5" t="s">
        <v>254</v>
      </c>
      <c r="F51" s="5" t="s">
        <v>104</v>
      </c>
      <c r="G51" s="607" t="s">
        <v>238</v>
      </c>
      <c r="H51" s="663" t="s">
        <v>251</v>
      </c>
      <c r="I51" s="201"/>
      <c r="J51" s="219"/>
      <c r="K51" s="130"/>
      <c r="L51" s="130"/>
      <c r="M51" s="243"/>
    </row>
    <row r="52" spans="1:13" ht="12.75" hidden="1">
      <c r="A52" s="137" t="s">
        <v>186</v>
      </c>
      <c r="B52" s="6"/>
      <c r="C52" s="720" t="s">
        <v>108</v>
      </c>
      <c r="D52" s="606"/>
      <c r="E52" s="5" t="s">
        <v>254</v>
      </c>
      <c r="F52" s="5" t="s">
        <v>234</v>
      </c>
      <c r="G52" s="607" t="s">
        <v>238</v>
      </c>
      <c r="H52" s="663" t="s">
        <v>450</v>
      </c>
      <c r="I52" s="201"/>
      <c r="J52" s="219"/>
      <c r="K52" s="130"/>
      <c r="L52" s="130"/>
      <c r="M52" s="243"/>
    </row>
    <row r="53" spans="1:13" ht="12.75" hidden="1">
      <c r="A53" s="137" t="s">
        <v>191</v>
      </c>
      <c r="B53" s="6"/>
      <c r="C53" s="720" t="s">
        <v>106</v>
      </c>
      <c r="D53" s="606"/>
      <c r="E53" s="5" t="s">
        <v>254</v>
      </c>
      <c r="F53" s="5" t="s">
        <v>104</v>
      </c>
      <c r="G53" s="607" t="s">
        <v>238</v>
      </c>
      <c r="H53" s="663" t="s">
        <v>252</v>
      </c>
      <c r="I53" s="201"/>
      <c r="J53" s="219"/>
      <c r="K53" s="130"/>
      <c r="L53" s="130"/>
      <c r="M53" s="243"/>
    </row>
    <row r="54" spans="1:13" ht="21.75" customHeight="1">
      <c r="A54" s="135" t="s">
        <v>281</v>
      </c>
      <c r="B54" s="6" t="s">
        <v>135</v>
      </c>
      <c r="C54" s="884" t="s">
        <v>918</v>
      </c>
      <c r="D54" s="601" t="s">
        <v>83</v>
      </c>
      <c r="E54" s="123" t="s">
        <v>474</v>
      </c>
      <c r="F54" s="123" t="s">
        <v>475</v>
      </c>
      <c r="G54" s="602" t="s">
        <v>924</v>
      </c>
      <c r="H54" s="663"/>
      <c r="I54" s="229">
        <f>'Бюд.р.'!H84</f>
        <v>674.2189999999999</v>
      </c>
      <c r="J54" s="219">
        <v>36.8</v>
      </c>
      <c r="K54" s="130">
        <v>36.7</v>
      </c>
      <c r="L54" s="130">
        <v>36.7</v>
      </c>
      <c r="M54" s="243">
        <v>36.7</v>
      </c>
    </row>
    <row r="55" spans="1:13" ht="15" customHeight="1">
      <c r="A55" s="135"/>
      <c r="B55" s="6" t="s">
        <v>926</v>
      </c>
      <c r="C55" s="646" t="s">
        <v>920</v>
      </c>
      <c r="D55" s="601" t="s">
        <v>83</v>
      </c>
      <c r="E55" s="123" t="s">
        <v>474</v>
      </c>
      <c r="F55" s="123" t="s">
        <v>475</v>
      </c>
      <c r="G55" s="873" t="s">
        <v>441</v>
      </c>
      <c r="H55" s="1091"/>
      <c r="I55" s="364">
        <f>'Бюд.р.'!H94</f>
        <v>920.634</v>
      </c>
      <c r="J55" s="219"/>
      <c r="K55" s="130"/>
      <c r="L55" s="130"/>
      <c r="M55" s="243"/>
    </row>
    <row r="56" spans="1:13" ht="14.25" customHeight="1" thickBot="1">
      <c r="A56" s="135"/>
      <c r="B56" s="6" t="s">
        <v>927</v>
      </c>
      <c r="C56" s="646" t="s">
        <v>919</v>
      </c>
      <c r="D56" s="601" t="s">
        <v>83</v>
      </c>
      <c r="E56" s="123" t="s">
        <v>474</v>
      </c>
      <c r="F56" s="123" t="s">
        <v>475</v>
      </c>
      <c r="G56" s="873" t="s">
        <v>931</v>
      </c>
      <c r="H56" s="1091"/>
      <c r="I56" s="364">
        <f>'Бюд.р.'!H100</f>
        <v>479.48800000000006</v>
      </c>
      <c r="J56" s="219"/>
      <c r="K56" s="130"/>
      <c r="L56" s="130"/>
      <c r="M56" s="243"/>
    </row>
    <row r="57" spans="1:13" ht="14.25" customHeight="1" thickBot="1">
      <c r="A57" s="135"/>
      <c r="B57" s="842"/>
      <c r="C57" s="569" t="s">
        <v>236</v>
      </c>
      <c r="D57" s="570">
        <v>925</v>
      </c>
      <c r="E57" s="570">
        <v>700</v>
      </c>
      <c r="F57" s="570"/>
      <c r="G57" s="570"/>
      <c r="H57" s="571"/>
      <c r="I57" s="364"/>
      <c r="J57" s="219"/>
      <c r="K57" s="130"/>
      <c r="L57" s="130"/>
      <c r="M57" s="243"/>
    </row>
    <row r="58" spans="1:13" ht="14.25" customHeight="1">
      <c r="A58" s="135"/>
      <c r="B58" s="842"/>
      <c r="C58" s="574" t="s">
        <v>992</v>
      </c>
      <c r="D58" s="566">
        <v>925</v>
      </c>
      <c r="E58" s="566">
        <v>705</v>
      </c>
      <c r="F58" s="566"/>
      <c r="G58" s="566"/>
      <c r="H58" s="567"/>
      <c r="I58" s="364"/>
      <c r="J58" s="219"/>
      <c r="K58" s="130"/>
      <c r="L58" s="130"/>
      <c r="M58" s="243"/>
    </row>
    <row r="59" spans="1:13" ht="14.25" customHeight="1">
      <c r="A59" s="135"/>
      <c r="B59" s="842"/>
      <c r="C59" s="310" t="s">
        <v>1025</v>
      </c>
      <c r="D59" s="107">
        <v>925</v>
      </c>
      <c r="E59" s="107">
        <v>705</v>
      </c>
      <c r="F59" s="107" t="s">
        <v>999</v>
      </c>
      <c r="G59" s="107"/>
      <c r="H59" s="305"/>
      <c r="I59" s="364"/>
      <c r="J59" s="219"/>
      <c r="K59" s="130"/>
      <c r="L59" s="130"/>
      <c r="M59" s="243"/>
    </row>
    <row r="60" spans="1:13" ht="14.25" customHeight="1">
      <c r="A60" s="135"/>
      <c r="B60" s="842"/>
      <c r="C60" s="310" t="s">
        <v>1000</v>
      </c>
      <c r="D60" s="107">
        <v>925</v>
      </c>
      <c r="E60" s="107">
        <v>705</v>
      </c>
      <c r="F60" s="107" t="s">
        <v>1026</v>
      </c>
      <c r="G60" s="107"/>
      <c r="H60" s="305"/>
      <c r="I60" s="364"/>
      <c r="J60" s="219"/>
      <c r="K60" s="130"/>
      <c r="L60" s="130"/>
      <c r="M60" s="243"/>
    </row>
    <row r="61" spans="1:13" ht="14.25" customHeight="1">
      <c r="A61" s="135"/>
      <c r="B61" s="842"/>
      <c r="C61" s="310" t="s">
        <v>1003</v>
      </c>
      <c r="D61" s="107">
        <v>968</v>
      </c>
      <c r="E61" s="107">
        <v>705</v>
      </c>
      <c r="F61" s="107" t="s">
        <v>1001</v>
      </c>
      <c r="G61" s="107"/>
      <c r="H61" s="305"/>
      <c r="I61" s="364"/>
      <c r="J61" s="219"/>
      <c r="K61" s="130"/>
      <c r="L61" s="130"/>
      <c r="M61" s="243"/>
    </row>
    <row r="62" spans="1:13" ht="14.25" customHeight="1">
      <c r="A62" s="135"/>
      <c r="B62" s="842"/>
      <c r="C62" s="1078" t="s">
        <v>1002</v>
      </c>
      <c r="D62" s="1085">
        <v>968</v>
      </c>
      <c r="E62" s="1085">
        <v>705</v>
      </c>
      <c r="F62" s="1085" t="s">
        <v>1001</v>
      </c>
      <c r="G62" s="1085">
        <v>244</v>
      </c>
      <c r="H62" s="1079">
        <v>244</v>
      </c>
      <c r="I62" s="364"/>
      <c r="J62" s="219"/>
      <c r="K62" s="130"/>
      <c r="L62" s="130"/>
      <c r="M62" s="243"/>
    </row>
    <row r="63" spans="1:13" ht="14.25" customHeight="1">
      <c r="A63" s="135"/>
      <c r="B63" s="842"/>
      <c r="C63" s="1504"/>
      <c r="D63" s="637"/>
      <c r="E63" s="872"/>
      <c r="F63" s="872"/>
      <c r="G63" s="873"/>
      <c r="H63" s="1091"/>
      <c r="I63" s="364"/>
      <c r="J63" s="219"/>
      <c r="K63" s="130"/>
      <c r="L63" s="130"/>
      <c r="M63" s="243"/>
    </row>
    <row r="64" spans="1:13" ht="14.25" customHeight="1">
      <c r="A64" s="135"/>
      <c r="B64" s="842"/>
      <c r="C64" s="1504"/>
      <c r="D64" s="637"/>
      <c r="E64" s="872"/>
      <c r="F64" s="872"/>
      <c r="G64" s="873"/>
      <c r="H64" s="1091"/>
      <c r="I64" s="364"/>
      <c r="J64" s="219"/>
      <c r="K64" s="130"/>
      <c r="L64" s="130"/>
      <c r="M64" s="243"/>
    </row>
    <row r="65" spans="1:13" ht="30" customHeight="1" thickBot="1">
      <c r="A65" s="141" t="s">
        <v>228</v>
      </c>
      <c r="B65" s="966"/>
      <c r="C65" s="967" t="s">
        <v>513</v>
      </c>
      <c r="D65" s="968" t="s">
        <v>591</v>
      </c>
      <c r="E65" s="969"/>
      <c r="F65" s="969"/>
      <c r="G65" s="970"/>
      <c r="H65" s="1052"/>
      <c r="I65" s="971" t="e">
        <f>I66+I122+I152+I159+I203+I207+I226+I237+I256+I260</f>
        <v>#REF!</v>
      </c>
      <c r="J65" s="220"/>
      <c r="K65" s="176"/>
      <c r="L65" s="176"/>
      <c r="M65" s="210"/>
    </row>
    <row r="66" spans="1:13" ht="30" customHeight="1" thickBot="1">
      <c r="A66" s="141"/>
      <c r="B66" s="934" t="s">
        <v>607</v>
      </c>
      <c r="C66" s="935" t="s">
        <v>102</v>
      </c>
      <c r="D66" s="936" t="s">
        <v>591</v>
      </c>
      <c r="E66" s="937" t="s">
        <v>457</v>
      </c>
      <c r="F66" s="937"/>
      <c r="G66" s="938"/>
      <c r="H66" s="1053"/>
      <c r="I66" s="940" t="e">
        <f>SUM(I67,I97,I100)</f>
        <v>#REF!</v>
      </c>
      <c r="J66" s="220"/>
      <c r="K66" s="176"/>
      <c r="L66" s="176"/>
      <c r="M66" s="210"/>
    </row>
    <row r="67" spans="1:13" ht="73.5" customHeight="1">
      <c r="A67" s="141"/>
      <c r="B67" s="898" t="s">
        <v>472</v>
      </c>
      <c r="C67" s="972" t="s">
        <v>859</v>
      </c>
      <c r="D67" s="846" t="s">
        <v>591</v>
      </c>
      <c r="E67" s="973" t="s">
        <v>476</v>
      </c>
      <c r="F67" s="973"/>
      <c r="G67" s="974"/>
      <c r="H67" s="1054"/>
      <c r="I67" s="849">
        <f>I68+I90</f>
        <v>25764.447999999997</v>
      </c>
      <c r="J67" s="217" t="e">
        <f>#REF!+J68</f>
        <v>#REF!</v>
      </c>
      <c r="K67" s="93" t="e">
        <f>#REF!+K68</f>
        <v>#REF!</v>
      </c>
      <c r="L67" s="93" t="e">
        <f>#REF!+L68</f>
        <v>#REF!</v>
      </c>
      <c r="M67" s="241" t="e">
        <f>#REF!+M68</f>
        <v>#REF!</v>
      </c>
    </row>
    <row r="68" spans="1:13" ht="12.75">
      <c r="A68" s="135" t="s">
        <v>195</v>
      </c>
      <c r="B68" s="23" t="s">
        <v>235</v>
      </c>
      <c r="C68" s="717" t="s">
        <v>87</v>
      </c>
      <c r="D68" s="599" t="s">
        <v>591</v>
      </c>
      <c r="E68" s="10" t="s">
        <v>476</v>
      </c>
      <c r="F68" s="10" t="s">
        <v>477</v>
      </c>
      <c r="G68" s="602"/>
      <c r="H68" s="660"/>
      <c r="I68" s="230">
        <f>I73</f>
        <v>1301.6730000000002</v>
      </c>
      <c r="J68" s="218">
        <f>J73</f>
        <v>164.7</v>
      </c>
      <c r="K68" s="127">
        <f>K73</f>
        <v>164.7</v>
      </c>
      <c r="L68" s="127">
        <f>L73</f>
        <v>164.7</v>
      </c>
      <c r="M68" s="242">
        <f>M73</f>
        <v>164.7</v>
      </c>
    </row>
    <row r="69" spans="1:13" ht="12.75" hidden="1">
      <c r="A69" s="138" t="s">
        <v>669</v>
      </c>
      <c r="B69" s="254"/>
      <c r="C69" s="718" t="s">
        <v>240</v>
      </c>
      <c r="D69" s="606"/>
      <c r="E69" s="5" t="s">
        <v>253</v>
      </c>
      <c r="F69" s="5" t="s">
        <v>104</v>
      </c>
      <c r="G69" s="607" t="s">
        <v>255</v>
      </c>
      <c r="H69" s="663" t="s">
        <v>241</v>
      </c>
      <c r="I69" s="201"/>
      <c r="J69" s="219"/>
      <c r="K69" s="130"/>
      <c r="L69" s="130"/>
      <c r="M69" s="243"/>
    </row>
    <row r="70" spans="1:13" ht="12.75" hidden="1">
      <c r="A70" s="139" t="s">
        <v>419</v>
      </c>
      <c r="B70" s="6"/>
      <c r="C70" s="720" t="s">
        <v>256</v>
      </c>
      <c r="D70" s="606"/>
      <c r="E70" s="5" t="s">
        <v>253</v>
      </c>
      <c r="F70" s="5" t="s">
        <v>104</v>
      </c>
      <c r="G70" s="607" t="s">
        <v>255</v>
      </c>
      <c r="H70" s="663" t="s">
        <v>244</v>
      </c>
      <c r="I70" s="201"/>
      <c r="J70" s="219"/>
      <c r="K70" s="130"/>
      <c r="L70" s="130"/>
      <c r="M70" s="243"/>
    </row>
    <row r="71" spans="1:13" ht="12.75" hidden="1">
      <c r="A71" s="139" t="s">
        <v>185</v>
      </c>
      <c r="B71" s="6"/>
      <c r="C71" s="720" t="s">
        <v>105</v>
      </c>
      <c r="D71" s="606"/>
      <c r="E71" s="5" t="s">
        <v>253</v>
      </c>
      <c r="F71" s="5" t="s">
        <v>104</v>
      </c>
      <c r="G71" s="607" t="s">
        <v>255</v>
      </c>
      <c r="H71" s="663" t="s">
        <v>251</v>
      </c>
      <c r="I71" s="201"/>
      <c r="J71" s="219"/>
      <c r="K71" s="130"/>
      <c r="L71" s="130"/>
      <c r="M71" s="243"/>
    </row>
    <row r="72" spans="1:13" ht="12.75" hidden="1">
      <c r="A72" s="139" t="s">
        <v>186</v>
      </c>
      <c r="B72" s="6"/>
      <c r="C72" s="720" t="s">
        <v>106</v>
      </c>
      <c r="D72" s="606"/>
      <c r="E72" s="5" t="s">
        <v>253</v>
      </c>
      <c r="F72" s="5" t="s">
        <v>104</v>
      </c>
      <c r="G72" s="607" t="s">
        <v>255</v>
      </c>
      <c r="H72" s="663" t="s">
        <v>252</v>
      </c>
      <c r="I72" s="201"/>
      <c r="J72" s="219"/>
      <c r="K72" s="130"/>
      <c r="L72" s="130"/>
      <c r="M72" s="243"/>
    </row>
    <row r="73" spans="1:13" ht="24" customHeight="1">
      <c r="A73" s="135" t="s">
        <v>282</v>
      </c>
      <c r="B73" s="6" t="s">
        <v>195</v>
      </c>
      <c r="C73" s="884" t="s">
        <v>918</v>
      </c>
      <c r="D73" s="601" t="s">
        <v>591</v>
      </c>
      <c r="E73" s="123" t="s">
        <v>476</v>
      </c>
      <c r="F73" s="123" t="s">
        <v>477</v>
      </c>
      <c r="G73" s="602" t="s">
        <v>924</v>
      </c>
      <c r="H73" s="663"/>
      <c r="I73" s="229">
        <f>'Бюд.р.'!H160</f>
        <v>1301.6730000000002</v>
      </c>
      <c r="J73" s="219">
        <v>164.7</v>
      </c>
      <c r="K73" s="130">
        <v>164.7</v>
      </c>
      <c r="L73" s="130">
        <v>164.7</v>
      </c>
      <c r="M73" s="243">
        <v>164.7</v>
      </c>
    </row>
    <row r="74" spans="1:13" ht="24" hidden="1">
      <c r="A74" s="138" t="s">
        <v>283</v>
      </c>
      <c r="B74" s="12"/>
      <c r="C74" s="724" t="s">
        <v>240</v>
      </c>
      <c r="D74" s="599"/>
      <c r="E74" s="30" t="s">
        <v>253</v>
      </c>
      <c r="F74" s="30" t="s">
        <v>104</v>
      </c>
      <c r="G74" s="603" t="s">
        <v>675</v>
      </c>
      <c r="H74" s="661" t="s">
        <v>241</v>
      </c>
      <c r="I74" s="201"/>
      <c r="J74" s="220"/>
      <c r="K74" s="176"/>
      <c r="L74" s="176"/>
      <c r="M74" s="210"/>
    </row>
    <row r="75" spans="1:13" ht="12.75" hidden="1">
      <c r="A75" s="139" t="s">
        <v>284</v>
      </c>
      <c r="B75" s="6"/>
      <c r="C75" s="725" t="s">
        <v>256</v>
      </c>
      <c r="D75" s="612"/>
      <c r="E75" s="8" t="s">
        <v>253</v>
      </c>
      <c r="F75" s="8" t="s">
        <v>104</v>
      </c>
      <c r="G75" s="613" t="s">
        <v>675</v>
      </c>
      <c r="H75" s="668" t="s">
        <v>244</v>
      </c>
      <c r="I75" s="201"/>
      <c r="J75" s="220"/>
      <c r="K75" s="176"/>
      <c r="L75" s="176"/>
      <c r="M75" s="210"/>
    </row>
    <row r="76" spans="1:13" ht="12.75" hidden="1">
      <c r="A76" s="140" t="s">
        <v>185</v>
      </c>
      <c r="B76" s="1"/>
      <c r="C76" s="720" t="s">
        <v>105</v>
      </c>
      <c r="D76" s="606"/>
      <c r="E76" s="5" t="s">
        <v>253</v>
      </c>
      <c r="F76" s="5" t="s">
        <v>104</v>
      </c>
      <c r="G76" s="607" t="s">
        <v>675</v>
      </c>
      <c r="H76" s="663" t="s">
        <v>251</v>
      </c>
      <c r="I76" s="201"/>
      <c r="J76" s="221"/>
      <c r="K76" s="131"/>
      <c r="L76" s="131"/>
      <c r="M76" s="244"/>
    </row>
    <row r="77" spans="1:13" ht="12.75" hidden="1">
      <c r="A77" s="140" t="s">
        <v>186</v>
      </c>
      <c r="B77" s="1"/>
      <c r="C77" s="720" t="s">
        <v>108</v>
      </c>
      <c r="D77" s="606"/>
      <c r="E77" s="5" t="s">
        <v>253</v>
      </c>
      <c r="F77" s="5" t="s">
        <v>234</v>
      </c>
      <c r="G77" s="607" t="s">
        <v>675</v>
      </c>
      <c r="H77" s="663" t="s">
        <v>450</v>
      </c>
      <c r="I77" s="201"/>
      <c r="J77" s="221"/>
      <c r="K77" s="131"/>
      <c r="L77" s="131"/>
      <c r="M77" s="244"/>
    </row>
    <row r="78" spans="1:13" ht="12.75" hidden="1">
      <c r="A78" s="140" t="s">
        <v>191</v>
      </c>
      <c r="B78" s="1"/>
      <c r="C78" s="720" t="s">
        <v>109</v>
      </c>
      <c r="D78" s="606"/>
      <c r="E78" s="5" t="s">
        <v>253</v>
      </c>
      <c r="F78" s="5" t="s">
        <v>104</v>
      </c>
      <c r="G78" s="607" t="s">
        <v>675</v>
      </c>
      <c r="H78" s="663" t="s">
        <v>252</v>
      </c>
      <c r="I78" s="201"/>
      <c r="J78" s="221"/>
      <c r="K78" s="131"/>
      <c r="L78" s="131"/>
      <c r="M78" s="244"/>
    </row>
    <row r="79" spans="1:13" ht="12.75" hidden="1">
      <c r="A79" s="139" t="s">
        <v>176</v>
      </c>
      <c r="B79" s="6"/>
      <c r="C79" s="719" t="s">
        <v>260</v>
      </c>
      <c r="D79" s="604"/>
      <c r="E79" s="7" t="s">
        <v>253</v>
      </c>
      <c r="F79" s="7" t="s">
        <v>104</v>
      </c>
      <c r="G79" s="605" t="s">
        <v>675</v>
      </c>
      <c r="H79" s="662" t="s">
        <v>451</v>
      </c>
      <c r="I79" s="201"/>
      <c r="J79" s="220"/>
      <c r="K79" s="176"/>
      <c r="L79" s="176"/>
      <c r="M79" s="210"/>
    </row>
    <row r="80" spans="1:13" ht="12.75" hidden="1">
      <c r="A80" s="142" t="s">
        <v>185</v>
      </c>
      <c r="B80" s="18"/>
      <c r="C80" s="726" t="s">
        <v>110</v>
      </c>
      <c r="D80" s="698"/>
      <c r="E80" s="33" t="s">
        <v>253</v>
      </c>
      <c r="F80" s="33" t="s">
        <v>104</v>
      </c>
      <c r="G80" s="699" t="s">
        <v>675</v>
      </c>
      <c r="H80" s="667" t="s">
        <v>452</v>
      </c>
      <c r="I80" s="201"/>
      <c r="J80" s="221"/>
      <c r="K80" s="131"/>
      <c r="L80" s="131"/>
      <c r="M80" s="244"/>
    </row>
    <row r="81" spans="1:13" ht="12.75" hidden="1">
      <c r="A81" s="142" t="s">
        <v>186</v>
      </c>
      <c r="B81" s="18"/>
      <c r="C81" s="726" t="s">
        <v>111</v>
      </c>
      <c r="D81" s="698"/>
      <c r="E81" s="33" t="s">
        <v>253</v>
      </c>
      <c r="F81" s="33" t="s">
        <v>104</v>
      </c>
      <c r="G81" s="699" t="s">
        <v>675</v>
      </c>
      <c r="H81" s="667" t="s">
        <v>453</v>
      </c>
      <c r="I81" s="201"/>
      <c r="J81" s="221"/>
      <c r="K81" s="131"/>
      <c r="L81" s="131"/>
      <c r="M81" s="244"/>
    </row>
    <row r="82" spans="1:13" ht="12.75" hidden="1">
      <c r="A82" s="143" t="s">
        <v>191</v>
      </c>
      <c r="B82" s="255"/>
      <c r="C82" s="726" t="s">
        <v>112</v>
      </c>
      <c r="D82" s="698"/>
      <c r="E82" s="4" t="s">
        <v>253</v>
      </c>
      <c r="F82" s="4" t="s">
        <v>104</v>
      </c>
      <c r="G82" s="700" t="s">
        <v>675</v>
      </c>
      <c r="H82" s="667" t="s">
        <v>454</v>
      </c>
      <c r="I82" s="201"/>
      <c r="J82" s="221"/>
      <c r="K82" s="131"/>
      <c r="L82" s="131"/>
      <c r="M82" s="244"/>
    </row>
    <row r="83" spans="1:13" ht="14.25" customHeight="1" hidden="1">
      <c r="A83" s="143" t="s">
        <v>192</v>
      </c>
      <c r="B83" s="255"/>
      <c r="C83" s="726" t="s">
        <v>113</v>
      </c>
      <c r="D83" s="698"/>
      <c r="E83" s="4" t="s">
        <v>253</v>
      </c>
      <c r="F83" s="4" t="s">
        <v>104</v>
      </c>
      <c r="G83" s="700" t="s">
        <v>675</v>
      </c>
      <c r="H83" s="667" t="s">
        <v>455</v>
      </c>
      <c r="I83" s="201"/>
      <c r="J83" s="221"/>
      <c r="K83" s="131"/>
      <c r="L83" s="131"/>
      <c r="M83" s="244"/>
    </row>
    <row r="84" spans="1:13" ht="12.75" hidden="1">
      <c r="A84" s="143" t="s">
        <v>193</v>
      </c>
      <c r="B84" s="255"/>
      <c r="C84" s="726" t="s">
        <v>114</v>
      </c>
      <c r="D84" s="698"/>
      <c r="E84" s="4" t="s">
        <v>253</v>
      </c>
      <c r="F84" s="4" t="s">
        <v>104</v>
      </c>
      <c r="G84" s="700" t="s">
        <v>675</v>
      </c>
      <c r="H84" s="667" t="s">
        <v>762</v>
      </c>
      <c r="I84" s="201"/>
      <c r="J84" s="221"/>
      <c r="K84" s="131"/>
      <c r="L84" s="131"/>
      <c r="M84" s="244"/>
    </row>
    <row r="85" spans="1:13" ht="12.75" hidden="1">
      <c r="A85" s="143" t="s">
        <v>194</v>
      </c>
      <c r="B85" s="255"/>
      <c r="C85" s="726" t="s">
        <v>115</v>
      </c>
      <c r="D85" s="698"/>
      <c r="E85" s="4" t="s">
        <v>253</v>
      </c>
      <c r="F85" s="4" t="s">
        <v>104</v>
      </c>
      <c r="G85" s="700" t="s">
        <v>675</v>
      </c>
      <c r="H85" s="667" t="s">
        <v>763</v>
      </c>
      <c r="I85" s="201"/>
      <c r="J85" s="221"/>
      <c r="K85" s="131"/>
      <c r="L85" s="131"/>
      <c r="M85" s="244"/>
    </row>
    <row r="86" spans="1:13" ht="12.75" hidden="1">
      <c r="A86" s="139" t="s">
        <v>177</v>
      </c>
      <c r="B86" s="6"/>
      <c r="C86" s="719" t="s">
        <v>298</v>
      </c>
      <c r="D86" s="604"/>
      <c r="E86" s="7" t="s">
        <v>253</v>
      </c>
      <c r="F86" s="7" t="s">
        <v>104</v>
      </c>
      <c r="G86" s="605" t="s">
        <v>675</v>
      </c>
      <c r="H86" s="662" t="s">
        <v>264</v>
      </c>
      <c r="I86" s="201"/>
      <c r="J86" s="220"/>
      <c r="K86" s="176"/>
      <c r="L86" s="176"/>
      <c r="M86" s="210"/>
    </row>
    <row r="87" spans="1:13" ht="16.5" customHeight="1" hidden="1">
      <c r="A87" s="138" t="s">
        <v>178</v>
      </c>
      <c r="B87" s="12"/>
      <c r="C87" s="724" t="s">
        <v>243</v>
      </c>
      <c r="D87" s="615"/>
      <c r="E87" s="41" t="s">
        <v>253</v>
      </c>
      <c r="F87" s="30" t="s">
        <v>104</v>
      </c>
      <c r="G87" s="701" t="s">
        <v>675</v>
      </c>
      <c r="H87" s="1055" t="s">
        <v>257</v>
      </c>
      <c r="I87" s="201"/>
      <c r="J87" s="220"/>
      <c r="K87" s="176"/>
      <c r="L87" s="176"/>
      <c r="M87" s="210"/>
    </row>
    <row r="88" spans="1:13" ht="15.75" customHeight="1" hidden="1">
      <c r="A88" s="139" t="s">
        <v>179</v>
      </c>
      <c r="B88" s="6"/>
      <c r="C88" s="720" t="s">
        <v>225</v>
      </c>
      <c r="D88" s="606"/>
      <c r="E88" s="5" t="s">
        <v>253</v>
      </c>
      <c r="F88" s="5" t="s">
        <v>104</v>
      </c>
      <c r="G88" s="607" t="s">
        <v>675</v>
      </c>
      <c r="H88" s="663" t="s">
        <v>261</v>
      </c>
      <c r="I88" s="201"/>
      <c r="J88" s="220"/>
      <c r="K88" s="176"/>
      <c r="L88" s="176"/>
      <c r="M88" s="210"/>
    </row>
    <row r="89" spans="1:13" ht="15" customHeight="1" hidden="1">
      <c r="A89" s="139" t="s">
        <v>180</v>
      </c>
      <c r="B89" s="6"/>
      <c r="C89" s="720" t="s">
        <v>226</v>
      </c>
      <c r="D89" s="606"/>
      <c r="E89" s="5" t="s">
        <v>253</v>
      </c>
      <c r="F89" s="5" t="s">
        <v>104</v>
      </c>
      <c r="G89" s="607" t="s">
        <v>675</v>
      </c>
      <c r="H89" s="663" t="s">
        <v>262</v>
      </c>
      <c r="I89" s="201"/>
      <c r="J89" s="220"/>
      <c r="K89" s="176"/>
      <c r="L89" s="176"/>
      <c r="M89" s="210"/>
    </row>
    <row r="90" spans="1:13" ht="15" customHeight="1">
      <c r="A90" s="139"/>
      <c r="B90" s="23" t="s">
        <v>8</v>
      </c>
      <c r="C90" s="1092" t="s">
        <v>936</v>
      </c>
      <c r="D90" s="599" t="s">
        <v>591</v>
      </c>
      <c r="E90" s="10" t="s">
        <v>476</v>
      </c>
      <c r="F90" s="10" t="s">
        <v>51</v>
      </c>
      <c r="G90" s="600"/>
      <c r="H90" s="1056"/>
      <c r="I90" s="230">
        <f>I91+I95</f>
        <v>24462.774999999998</v>
      </c>
      <c r="J90" s="220"/>
      <c r="K90" s="176"/>
      <c r="L90" s="176"/>
      <c r="M90" s="210"/>
    </row>
    <row r="91" spans="1:13" ht="33.75" customHeight="1">
      <c r="A91" s="139"/>
      <c r="B91" s="658" t="s">
        <v>9</v>
      </c>
      <c r="C91" s="727" t="s">
        <v>54</v>
      </c>
      <c r="D91" s="623">
        <v>968</v>
      </c>
      <c r="E91" s="286">
        <v>104</v>
      </c>
      <c r="F91" s="286" t="s">
        <v>52</v>
      </c>
      <c r="G91" s="610"/>
      <c r="H91" s="660"/>
      <c r="I91" s="588">
        <f>SUM(I92:I94)</f>
        <v>24457.175</v>
      </c>
      <c r="J91" s="220"/>
      <c r="K91" s="176"/>
      <c r="L91" s="176"/>
      <c r="M91" s="210"/>
    </row>
    <row r="92" spans="1:13" ht="21.75" customHeight="1">
      <c r="A92" s="139"/>
      <c r="B92" s="6" t="s">
        <v>32</v>
      </c>
      <c r="C92" s="884" t="s">
        <v>918</v>
      </c>
      <c r="D92" s="644">
        <v>968</v>
      </c>
      <c r="E92" s="644">
        <v>104</v>
      </c>
      <c r="F92" s="644" t="s">
        <v>52</v>
      </c>
      <c r="G92" s="644">
        <v>120</v>
      </c>
      <c r="H92" s="1056"/>
      <c r="I92" s="229">
        <f>'Бюд.р.'!H167</f>
        <v>19466.560999999998</v>
      </c>
      <c r="J92" s="220"/>
      <c r="K92" s="176"/>
      <c r="L92" s="176"/>
      <c r="M92" s="210"/>
    </row>
    <row r="93" spans="1:13" ht="12" customHeight="1">
      <c r="A93" s="139"/>
      <c r="B93" s="6" t="s">
        <v>928</v>
      </c>
      <c r="C93" s="646" t="s">
        <v>920</v>
      </c>
      <c r="D93" s="644">
        <v>968</v>
      </c>
      <c r="E93" s="644">
        <v>104</v>
      </c>
      <c r="F93" s="644" t="s">
        <v>52</v>
      </c>
      <c r="G93" s="644">
        <v>240</v>
      </c>
      <c r="H93" s="1056"/>
      <c r="I93" s="229">
        <f>'Бюд.р.'!H172</f>
        <v>4975.189</v>
      </c>
      <c r="J93" s="220"/>
      <c r="K93" s="176"/>
      <c r="L93" s="176"/>
      <c r="M93" s="210"/>
    </row>
    <row r="94" spans="1:13" ht="12" customHeight="1">
      <c r="A94" s="139"/>
      <c r="B94" s="6" t="s">
        <v>929</v>
      </c>
      <c r="C94" s="646" t="s">
        <v>919</v>
      </c>
      <c r="D94" s="644">
        <v>968</v>
      </c>
      <c r="E94" s="644">
        <v>104</v>
      </c>
      <c r="F94" s="644" t="s">
        <v>52</v>
      </c>
      <c r="G94" s="644">
        <v>850</v>
      </c>
      <c r="H94" s="1056"/>
      <c r="I94" s="229">
        <f>'Бюд.р.'!H209</f>
        <v>15.425</v>
      </c>
      <c r="J94" s="220"/>
      <c r="K94" s="176"/>
      <c r="L94" s="176"/>
      <c r="M94" s="210"/>
    </row>
    <row r="95" spans="1:13" ht="50.25" customHeight="1">
      <c r="A95" s="139"/>
      <c r="B95" s="658" t="s">
        <v>31</v>
      </c>
      <c r="C95" s="727" t="s">
        <v>56</v>
      </c>
      <c r="D95" s="704">
        <v>968</v>
      </c>
      <c r="E95" s="705">
        <v>104</v>
      </c>
      <c r="F95" s="705" t="s">
        <v>57</v>
      </c>
      <c r="G95" s="706"/>
      <c r="H95" s="668"/>
      <c r="I95" s="651">
        <f>I96</f>
        <v>5.6</v>
      </c>
      <c r="J95" s="220"/>
      <c r="K95" s="176"/>
      <c r="L95" s="176"/>
      <c r="M95" s="210"/>
    </row>
    <row r="96" spans="1:13" ht="25.5" customHeight="1">
      <c r="A96" s="139"/>
      <c r="B96" s="255" t="s">
        <v>33</v>
      </c>
      <c r="C96" s="728" t="s">
        <v>732</v>
      </c>
      <c r="D96" s="644">
        <v>968</v>
      </c>
      <c r="E96" s="644">
        <v>104</v>
      </c>
      <c r="F96" s="644" t="s">
        <v>57</v>
      </c>
      <c r="G96" s="644">
        <v>598</v>
      </c>
      <c r="H96" s="667"/>
      <c r="I96" s="645">
        <f>'Бюд.р.'!H217</f>
        <v>5.6</v>
      </c>
      <c r="J96" s="220"/>
      <c r="K96" s="176"/>
      <c r="L96" s="176"/>
      <c r="M96" s="210"/>
    </row>
    <row r="97" spans="1:13" ht="18.75" customHeight="1">
      <c r="A97" s="139"/>
      <c r="B97" s="272" t="s">
        <v>614</v>
      </c>
      <c r="C97" s="762" t="s">
        <v>24</v>
      </c>
      <c r="D97" s="763">
        <v>968</v>
      </c>
      <c r="E97" s="763">
        <v>111</v>
      </c>
      <c r="F97" s="763"/>
      <c r="G97" s="763"/>
      <c r="H97" s="1057"/>
      <c r="I97" s="764">
        <f>I98</f>
        <v>2869.841</v>
      </c>
      <c r="J97" s="220"/>
      <c r="K97" s="176"/>
      <c r="L97" s="176"/>
      <c r="M97" s="210"/>
    </row>
    <row r="98" spans="1:13" ht="15" customHeight="1">
      <c r="A98" s="139"/>
      <c r="B98" s="23" t="s">
        <v>615</v>
      </c>
      <c r="C98" s="310" t="s">
        <v>25</v>
      </c>
      <c r="D98" s="286">
        <v>968</v>
      </c>
      <c r="E98" s="286">
        <v>111</v>
      </c>
      <c r="F98" s="286" t="s">
        <v>26</v>
      </c>
      <c r="G98" s="286"/>
      <c r="H98" s="663"/>
      <c r="I98" s="588">
        <f>I99</f>
        <v>2869.841</v>
      </c>
      <c r="J98" s="220"/>
      <c r="K98" s="176"/>
      <c r="L98" s="176"/>
      <c r="M98" s="210"/>
    </row>
    <row r="99" spans="1:13" ht="13.5" customHeight="1">
      <c r="A99" s="139"/>
      <c r="B99" s="6" t="s">
        <v>435</v>
      </c>
      <c r="C99" s="646" t="s">
        <v>921</v>
      </c>
      <c r="D99" s="644">
        <v>968</v>
      </c>
      <c r="E99" s="644">
        <v>111</v>
      </c>
      <c r="F99" s="644" t="s">
        <v>27</v>
      </c>
      <c r="G99" s="644">
        <v>870</v>
      </c>
      <c r="H99" s="667"/>
      <c r="I99" s="645">
        <f>'Бюд.р.'!H230</f>
        <v>2869.841</v>
      </c>
      <c r="J99" s="220"/>
      <c r="K99" s="176"/>
      <c r="L99" s="176"/>
      <c r="M99" s="210"/>
    </row>
    <row r="100" spans="1:13" ht="15" customHeight="1">
      <c r="A100" s="139"/>
      <c r="B100" s="918" t="s">
        <v>295</v>
      </c>
      <c r="C100" s="915" t="s">
        <v>410</v>
      </c>
      <c r="D100" s="908" t="s">
        <v>591</v>
      </c>
      <c r="E100" s="919" t="s">
        <v>857</v>
      </c>
      <c r="F100" s="916"/>
      <c r="G100" s="917"/>
      <c r="H100" s="921"/>
      <c r="I100" s="910" t="e">
        <f>I101+I103+I114+I116+I118+I120</f>
        <v>#REF!</v>
      </c>
      <c r="J100" s="215">
        <f>J101+J103+J108+J116</f>
        <v>125</v>
      </c>
      <c r="K100" s="205">
        <f>K101+K103+K108+K116</f>
        <v>125</v>
      </c>
      <c r="L100" s="205">
        <f>L101+L103+L108+L116</f>
        <v>125</v>
      </c>
      <c r="M100" s="239">
        <f>M101+M103+M108+M116</f>
        <v>125</v>
      </c>
    </row>
    <row r="101" spans="1:13" ht="39.75" customHeight="1">
      <c r="A101" s="139"/>
      <c r="B101" s="23" t="s">
        <v>672</v>
      </c>
      <c r="C101" s="313" t="s">
        <v>939</v>
      </c>
      <c r="D101" s="599" t="s">
        <v>591</v>
      </c>
      <c r="E101" s="10" t="s">
        <v>857</v>
      </c>
      <c r="F101" s="53" t="str">
        <f>F102</f>
        <v>090 01 00</v>
      </c>
      <c r="G101" s="600"/>
      <c r="H101" s="670"/>
      <c r="I101" s="230">
        <f>I102</f>
        <v>0</v>
      </c>
      <c r="J101" s="218">
        <f>J102</f>
        <v>0</v>
      </c>
      <c r="K101" s="127">
        <f>K102</f>
        <v>0</v>
      </c>
      <c r="L101" s="127">
        <f>L102</f>
        <v>0</v>
      </c>
      <c r="M101" s="242">
        <f>M102</f>
        <v>0</v>
      </c>
    </row>
    <row r="102" spans="1:13" ht="13.5" customHeight="1">
      <c r="A102" s="141"/>
      <c r="B102" s="6" t="s">
        <v>89</v>
      </c>
      <c r="C102" s="646" t="s">
        <v>920</v>
      </c>
      <c r="D102" s="601" t="s">
        <v>591</v>
      </c>
      <c r="E102" s="123" t="s">
        <v>857</v>
      </c>
      <c r="F102" s="123" t="s">
        <v>937</v>
      </c>
      <c r="G102" s="873" t="s">
        <v>441</v>
      </c>
      <c r="H102" s="664"/>
      <c r="I102" s="229">
        <f>'Бюд.р.'!H236</f>
        <v>0</v>
      </c>
      <c r="J102" s="219">
        <v>0</v>
      </c>
      <c r="K102" s="130">
        <v>0</v>
      </c>
      <c r="L102" s="130">
        <v>0</v>
      </c>
      <c r="M102" s="243">
        <v>0</v>
      </c>
    </row>
    <row r="103" spans="1:13" ht="57" customHeight="1">
      <c r="A103" s="134" t="s">
        <v>615</v>
      </c>
      <c r="B103" s="23" t="s">
        <v>737</v>
      </c>
      <c r="C103" s="717" t="s">
        <v>414</v>
      </c>
      <c r="D103" s="599" t="s">
        <v>591</v>
      </c>
      <c r="E103" s="10" t="s">
        <v>857</v>
      </c>
      <c r="F103" s="54" t="s">
        <v>220</v>
      </c>
      <c r="G103" s="614"/>
      <c r="H103" s="659"/>
      <c r="I103" s="230">
        <f>SUM(I104:I113)</f>
        <v>0</v>
      </c>
      <c r="J103" s="218">
        <f>J104</f>
        <v>125</v>
      </c>
      <c r="K103" s="127">
        <f>K104</f>
        <v>125</v>
      </c>
      <c r="L103" s="127">
        <f>L104</f>
        <v>125</v>
      </c>
      <c r="M103" s="242">
        <f>M104</f>
        <v>125</v>
      </c>
    </row>
    <row r="104" spans="1:13" ht="14.25" customHeight="1" hidden="1">
      <c r="A104" s="135" t="s">
        <v>435</v>
      </c>
      <c r="B104" s="6" t="s">
        <v>473</v>
      </c>
      <c r="C104" s="718" t="s">
        <v>415</v>
      </c>
      <c r="D104" s="601" t="s">
        <v>591</v>
      </c>
      <c r="E104" s="123" t="s">
        <v>857</v>
      </c>
      <c r="F104" s="123" t="s">
        <v>220</v>
      </c>
      <c r="G104" s="602" t="s">
        <v>764</v>
      </c>
      <c r="H104" s="660"/>
      <c r="I104" s="229">
        <f>'Бюд.р.'!H240</f>
        <v>0</v>
      </c>
      <c r="J104" s="219">
        <v>125</v>
      </c>
      <c r="K104" s="130">
        <v>125</v>
      </c>
      <c r="L104" s="130">
        <v>125</v>
      </c>
      <c r="M104" s="243">
        <v>125</v>
      </c>
    </row>
    <row r="105" spans="1:13" ht="24" hidden="1">
      <c r="A105" s="138" t="s">
        <v>436</v>
      </c>
      <c r="B105" s="12"/>
      <c r="C105" s="717" t="s">
        <v>240</v>
      </c>
      <c r="D105" s="615"/>
      <c r="E105" s="30" t="s">
        <v>263</v>
      </c>
      <c r="F105" s="30" t="s">
        <v>670</v>
      </c>
      <c r="G105" s="603" t="s">
        <v>676</v>
      </c>
      <c r="H105" s="661" t="s">
        <v>241</v>
      </c>
      <c r="I105" s="201"/>
      <c r="J105" s="220"/>
      <c r="K105" s="176"/>
      <c r="L105" s="176"/>
      <c r="M105" s="210"/>
    </row>
    <row r="106" spans="1:13" ht="12.75" hidden="1">
      <c r="A106" s="144" t="s">
        <v>651</v>
      </c>
      <c r="B106" s="18"/>
      <c r="C106" s="720" t="s">
        <v>224</v>
      </c>
      <c r="D106" s="606"/>
      <c r="E106" s="5" t="s">
        <v>263</v>
      </c>
      <c r="F106" s="5" t="s">
        <v>670</v>
      </c>
      <c r="G106" s="607" t="s">
        <v>676</v>
      </c>
      <c r="H106" s="663" t="s">
        <v>264</v>
      </c>
      <c r="I106" s="201"/>
      <c r="J106" s="220"/>
      <c r="K106" s="176"/>
      <c r="L106" s="176"/>
      <c r="M106" s="210"/>
    </row>
    <row r="107" spans="1:13" ht="15" customHeight="1" hidden="1">
      <c r="A107" s="141" t="s">
        <v>671</v>
      </c>
      <c r="B107" s="253"/>
      <c r="C107" s="721" t="s">
        <v>434</v>
      </c>
      <c r="D107" s="608"/>
      <c r="E107" s="124" t="s">
        <v>439</v>
      </c>
      <c r="F107" s="124"/>
      <c r="G107" s="616"/>
      <c r="H107" s="1058"/>
      <c r="I107" s="201"/>
      <c r="J107" s="220"/>
      <c r="K107" s="176"/>
      <c r="L107" s="176"/>
      <c r="M107" s="210"/>
    </row>
    <row r="108" spans="1:13" ht="23.25" customHeight="1" hidden="1">
      <c r="A108" s="134" t="s">
        <v>722</v>
      </c>
      <c r="B108" s="23" t="s">
        <v>749</v>
      </c>
      <c r="C108" s="729" t="s">
        <v>559</v>
      </c>
      <c r="D108" s="599" t="s">
        <v>591</v>
      </c>
      <c r="E108" s="10" t="s">
        <v>411</v>
      </c>
      <c r="F108" s="54" t="s">
        <v>461</v>
      </c>
      <c r="G108" s="600"/>
      <c r="H108" s="659"/>
      <c r="I108" s="230">
        <f>I109</f>
        <v>0</v>
      </c>
      <c r="J108" s="218">
        <f>J109</f>
        <v>0</v>
      </c>
      <c r="K108" s="127">
        <f>K109</f>
        <v>0</v>
      </c>
      <c r="L108" s="127">
        <f>L109</f>
        <v>0</v>
      </c>
      <c r="M108" s="242">
        <f>M109</f>
        <v>0</v>
      </c>
    </row>
    <row r="109" spans="1:13" ht="16.5" customHeight="1" hidden="1">
      <c r="A109" s="135" t="s">
        <v>617</v>
      </c>
      <c r="B109" s="6" t="s">
        <v>136</v>
      </c>
      <c r="C109" s="718" t="s">
        <v>415</v>
      </c>
      <c r="D109" s="601" t="s">
        <v>591</v>
      </c>
      <c r="E109" s="123" t="s">
        <v>411</v>
      </c>
      <c r="F109" s="123" t="s">
        <v>461</v>
      </c>
      <c r="G109" s="602" t="s">
        <v>764</v>
      </c>
      <c r="H109" s="660"/>
      <c r="I109" s="229"/>
      <c r="J109" s="219">
        <v>0</v>
      </c>
      <c r="K109" s="130">
        <v>0</v>
      </c>
      <c r="L109" s="130">
        <v>0</v>
      </c>
      <c r="M109" s="243">
        <v>0</v>
      </c>
    </row>
    <row r="110" spans="1:13" ht="12.75" hidden="1">
      <c r="A110" s="138" t="s">
        <v>723</v>
      </c>
      <c r="B110" s="12"/>
      <c r="C110" s="717" t="s">
        <v>240</v>
      </c>
      <c r="D110" s="615"/>
      <c r="E110" s="30" t="s">
        <v>439</v>
      </c>
      <c r="F110" s="30" t="s">
        <v>780</v>
      </c>
      <c r="G110" s="603" t="s">
        <v>765</v>
      </c>
      <c r="H110" s="661" t="s">
        <v>241</v>
      </c>
      <c r="I110" s="201"/>
      <c r="J110" s="220"/>
      <c r="K110" s="176"/>
      <c r="L110" s="176"/>
      <c r="M110" s="210"/>
    </row>
    <row r="111" spans="1:13" ht="23.25" customHeight="1" hidden="1">
      <c r="A111" s="145" t="s">
        <v>724</v>
      </c>
      <c r="B111" s="12"/>
      <c r="C111" s="719" t="s">
        <v>437</v>
      </c>
      <c r="D111" s="604"/>
      <c r="E111" s="7" t="s">
        <v>439</v>
      </c>
      <c r="F111" s="7" t="s">
        <v>780</v>
      </c>
      <c r="G111" s="607" t="s">
        <v>765</v>
      </c>
      <c r="H111" s="662" t="s">
        <v>441</v>
      </c>
      <c r="I111" s="201"/>
      <c r="J111" s="220"/>
      <c r="K111" s="176"/>
      <c r="L111" s="176"/>
      <c r="M111" s="210"/>
    </row>
    <row r="112" spans="1:13" ht="33.75" hidden="1">
      <c r="A112" s="146" t="s">
        <v>185</v>
      </c>
      <c r="B112" s="256"/>
      <c r="C112" s="720" t="s">
        <v>438</v>
      </c>
      <c r="D112" s="606"/>
      <c r="E112" s="5" t="s">
        <v>439</v>
      </c>
      <c r="F112" s="5" t="s">
        <v>780</v>
      </c>
      <c r="G112" s="607" t="s">
        <v>765</v>
      </c>
      <c r="H112" s="663" t="s">
        <v>440</v>
      </c>
      <c r="I112" s="201"/>
      <c r="J112" s="220"/>
      <c r="K112" s="176"/>
      <c r="L112" s="176"/>
      <c r="M112" s="210"/>
    </row>
    <row r="113" spans="1:13" ht="12.75">
      <c r="A113" s="146"/>
      <c r="B113" s="6" t="s">
        <v>473</v>
      </c>
      <c r="C113" s="718" t="s">
        <v>864</v>
      </c>
      <c r="D113" s="601" t="s">
        <v>591</v>
      </c>
      <c r="E113" s="123" t="s">
        <v>857</v>
      </c>
      <c r="F113" s="123" t="s">
        <v>220</v>
      </c>
      <c r="G113" s="602" t="s">
        <v>930</v>
      </c>
      <c r="H113" s="660"/>
      <c r="I113" s="229">
        <f>'Бюд.р.'!H244</f>
        <v>0</v>
      </c>
      <c r="J113" s="220"/>
      <c r="K113" s="176"/>
      <c r="L113" s="176"/>
      <c r="M113" s="210"/>
    </row>
    <row r="114" spans="1:13" ht="16.5" customHeight="1">
      <c r="A114" s="146"/>
      <c r="B114" s="23" t="s">
        <v>16</v>
      </c>
      <c r="C114" s="732" t="s">
        <v>826</v>
      </c>
      <c r="D114" s="648">
        <v>968</v>
      </c>
      <c r="E114" s="648">
        <v>113</v>
      </c>
      <c r="F114" s="648" t="str">
        <f>F115</f>
        <v>092 02 00</v>
      </c>
      <c r="G114" s="648"/>
      <c r="H114" s="665"/>
      <c r="I114" s="643">
        <f>I115</f>
        <v>100</v>
      </c>
      <c r="J114" s="220"/>
      <c r="K114" s="176"/>
      <c r="L114" s="176"/>
      <c r="M114" s="210"/>
    </row>
    <row r="115" spans="1:13" ht="12.75">
      <c r="A115" s="146"/>
      <c r="B115" s="6" t="s">
        <v>17</v>
      </c>
      <c r="C115" s="646" t="s">
        <v>920</v>
      </c>
      <c r="D115" s="644">
        <v>968</v>
      </c>
      <c r="E115" s="644">
        <v>113</v>
      </c>
      <c r="F115" s="644" t="s">
        <v>556</v>
      </c>
      <c r="G115" s="644">
        <v>240</v>
      </c>
      <c r="H115" s="669"/>
      <c r="I115" s="645">
        <f>'ВЕД.СТ Пр.2.'!K67</f>
        <v>100</v>
      </c>
      <c r="J115" s="220"/>
      <c r="K115" s="176"/>
      <c r="L115" s="176"/>
      <c r="M115" s="210"/>
    </row>
    <row r="116" spans="1:13" ht="24.75" customHeight="1">
      <c r="A116" s="146"/>
      <c r="B116" s="23" t="s">
        <v>833</v>
      </c>
      <c r="C116" s="310" t="s">
        <v>940</v>
      </c>
      <c r="D116" s="599" t="s">
        <v>591</v>
      </c>
      <c r="E116" s="10" t="s">
        <v>857</v>
      </c>
      <c r="F116" s="1093" t="s">
        <v>470</v>
      </c>
      <c r="G116" s="610"/>
      <c r="H116" s="671"/>
      <c r="I116" s="228" t="e">
        <f>I117</f>
        <v>#REF!</v>
      </c>
      <c r="J116" s="222">
        <f>J117</f>
        <v>0</v>
      </c>
      <c r="K116" s="96">
        <f>K117</f>
        <v>0</v>
      </c>
      <c r="L116" s="96">
        <f>L117</f>
        <v>0</v>
      </c>
      <c r="M116" s="245">
        <f>M117</f>
        <v>0</v>
      </c>
    </row>
    <row r="117" spans="1:13" ht="23.25" customHeight="1">
      <c r="A117" s="146"/>
      <c r="B117" s="6" t="s">
        <v>834</v>
      </c>
      <c r="C117" s="646" t="s">
        <v>923</v>
      </c>
      <c r="D117" s="601" t="s">
        <v>591</v>
      </c>
      <c r="E117" s="123" t="s">
        <v>857</v>
      </c>
      <c r="F117" s="123" t="s">
        <v>470</v>
      </c>
      <c r="G117" s="602" t="s">
        <v>813</v>
      </c>
      <c r="H117" s="660"/>
      <c r="I117" s="229" t="e">
        <f>'Бюд.р.'!#REF!</f>
        <v>#REF!</v>
      </c>
      <c r="J117" s="219">
        <v>0</v>
      </c>
      <c r="K117" s="130">
        <v>0</v>
      </c>
      <c r="L117" s="130">
        <v>0</v>
      </c>
      <c r="M117" s="243">
        <v>0</v>
      </c>
    </row>
    <row r="118" spans="1:13" ht="33.75" customHeight="1">
      <c r="A118" s="146"/>
      <c r="B118" s="23" t="s">
        <v>835</v>
      </c>
      <c r="C118" s="732" t="s">
        <v>824</v>
      </c>
      <c r="D118" s="648">
        <v>968</v>
      </c>
      <c r="E118" s="648">
        <v>113</v>
      </c>
      <c r="F118" s="648" t="str">
        <f>F119</f>
        <v>092 06 00</v>
      </c>
      <c r="G118" s="648"/>
      <c r="H118" s="669"/>
      <c r="I118" s="643">
        <f>I119</f>
        <v>144</v>
      </c>
      <c r="J118" s="219"/>
      <c r="K118" s="130"/>
      <c r="L118" s="130"/>
      <c r="M118" s="243"/>
    </row>
    <row r="119" spans="1:13" ht="13.5" customHeight="1">
      <c r="A119" s="146"/>
      <c r="B119" s="842" t="s">
        <v>836</v>
      </c>
      <c r="C119" s="843" t="s">
        <v>415</v>
      </c>
      <c r="D119" s="794">
        <v>968</v>
      </c>
      <c r="E119" s="794">
        <v>113</v>
      </c>
      <c r="F119" s="794" t="s">
        <v>942</v>
      </c>
      <c r="G119" s="794">
        <v>500</v>
      </c>
      <c r="H119" s="870"/>
      <c r="I119" s="645">
        <f>'Бюд.р.'!H260</f>
        <v>144</v>
      </c>
      <c r="J119" s="219"/>
      <c r="K119" s="130"/>
      <c r="L119" s="130"/>
      <c r="M119" s="243"/>
    </row>
    <row r="120" spans="1:13" ht="24" customHeight="1">
      <c r="A120" s="146"/>
      <c r="B120" s="23" t="s">
        <v>897</v>
      </c>
      <c r="C120" s="313" t="s">
        <v>947</v>
      </c>
      <c r="D120" s="286">
        <v>968</v>
      </c>
      <c r="E120" s="286">
        <v>113</v>
      </c>
      <c r="F120" s="286" t="str">
        <f>F121</f>
        <v>795 02 00</v>
      </c>
      <c r="G120" s="564"/>
      <c r="H120" s="1044"/>
      <c r="I120" s="643">
        <f>I121</f>
        <v>80.642</v>
      </c>
      <c r="J120" s="219"/>
      <c r="K120" s="130"/>
      <c r="L120" s="130"/>
      <c r="M120" s="243"/>
    </row>
    <row r="121" spans="1:13" ht="13.5" customHeight="1" thickBot="1">
      <c r="A121" s="146"/>
      <c r="B121" s="842" t="s">
        <v>898</v>
      </c>
      <c r="C121" s="646" t="s">
        <v>920</v>
      </c>
      <c r="D121" s="644">
        <v>968</v>
      </c>
      <c r="E121" s="644">
        <v>113</v>
      </c>
      <c r="F121" s="644" t="s">
        <v>945</v>
      </c>
      <c r="G121" s="644">
        <v>240</v>
      </c>
      <c r="H121" s="1044"/>
      <c r="I121" s="645">
        <f>'Бюд.р.'!H275</f>
        <v>80.642</v>
      </c>
      <c r="J121" s="219"/>
      <c r="K121" s="130"/>
      <c r="L121" s="130"/>
      <c r="M121" s="243"/>
    </row>
    <row r="122" spans="1:13" ht="30.75" thickBot="1">
      <c r="A122" s="146"/>
      <c r="B122" s="796" t="s">
        <v>608</v>
      </c>
      <c r="C122" s="935" t="s">
        <v>227</v>
      </c>
      <c r="D122" s="797" t="s">
        <v>591</v>
      </c>
      <c r="E122" s="798" t="s">
        <v>469</v>
      </c>
      <c r="F122" s="798"/>
      <c r="G122" s="963"/>
      <c r="H122" s="1059"/>
      <c r="I122" s="1045" t="e">
        <f>I123+I149</f>
        <v>#REF!</v>
      </c>
      <c r="J122" s="224">
        <f>J123</f>
        <v>37.5</v>
      </c>
      <c r="K122" s="209">
        <f>K123</f>
        <v>313.6</v>
      </c>
      <c r="L122" s="209">
        <f>L123</f>
        <v>202</v>
      </c>
      <c r="M122" s="247">
        <f>M123</f>
        <v>58</v>
      </c>
    </row>
    <row r="123" spans="1:13" ht="46.5" customHeight="1">
      <c r="A123" s="146"/>
      <c r="B123" s="898" t="s">
        <v>296</v>
      </c>
      <c r="C123" s="897" t="s">
        <v>855</v>
      </c>
      <c r="D123" s="902" t="s">
        <v>591</v>
      </c>
      <c r="E123" s="903" t="s">
        <v>408</v>
      </c>
      <c r="F123" s="911"/>
      <c r="G123" s="909"/>
      <c r="H123" s="1060"/>
      <c r="I123" s="906" t="e">
        <f>I134+I141+I143</f>
        <v>#REF!</v>
      </c>
      <c r="J123" s="223">
        <f>J141+J143</f>
        <v>37.5</v>
      </c>
      <c r="K123" s="207">
        <f>K141+K143</f>
        <v>313.6</v>
      </c>
      <c r="L123" s="207">
        <f>L141+L143</f>
        <v>202</v>
      </c>
      <c r="M123" s="246">
        <f>M141+M143</f>
        <v>58</v>
      </c>
    </row>
    <row r="124" spans="1:13" ht="12.75" hidden="1">
      <c r="A124" s="146"/>
      <c r="B124" s="256"/>
      <c r="C124" s="717" t="s">
        <v>240</v>
      </c>
      <c r="D124" s="606"/>
      <c r="E124" s="30" t="s">
        <v>439</v>
      </c>
      <c r="F124" s="30" t="s">
        <v>781</v>
      </c>
      <c r="G124" s="603" t="s">
        <v>765</v>
      </c>
      <c r="H124" s="661" t="s">
        <v>241</v>
      </c>
      <c r="I124" s="201"/>
      <c r="J124" s="220"/>
      <c r="K124" s="176"/>
      <c r="L124" s="176"/>
      <c r="M124" s="210"/>
    </row>
    <row r="125" spans="1:13" ht="12.75" hidden="1">
      <c r="A125" s="146"/>
      <c r="B125" s="256"/>
      <c r="C125" s="719" t="s">
        <v>260</v>
      </c>
      <c r="D125" s="606"/>
      <c r="E125" s="5" t="s">
        <v>439</v>
      </c>
      <c r="F125" s="5" t="s">
        <v>781</v>
      </c>
      <c r="G125" s="607" t="s">
        <v>765</v>
      </c>
      <c r="H125" s="663" t="s">
        <v>451</v>
      </c>
      <c r="I125" s="201"/>
      <c r="J125" s="220"/>
      <c r="K125" s="176"/>
      <c r="L125" s="176"/>
      <c r="M125" s="210"/>
    </row>
    <row r="126" spans="1:13" ht="12.75" hidden="1">
      <c r="A126" s="146"/>
      <c r="B126" s="256"/>
      <c r="C126" s="726" t="s">
        <v>115</v>
      </c>
      <c r="D126" s="606"/>
      <c r="E126" s="5" t="s">
        <v>439</v>
      </c>
      <c r="F126" s="5" t="s">
        <v>781</v>
      </c>
      <c r="G126" s="607" t="s">
        <v>765</v>
      </c>
      <c r="H126" s="663" t="s">
        <v>763</v>
      </c>
      <c r="I126" s="201"/>
      <c r="J126" s="220"/>
      <c r="K126" s="176"/>
      <c r="L126" s="176"/>
      <c r="M126" s="210"/>
    </row>
    <row r="127" spans="1:13" ht="27.75" customHeight="1" hidden="1" thickBot="1">
      <c r="A127" s="134" t="s">
        <v>749</v>
      </c>
      <c r="B127" s="253"/>
      <c r="C127" s="724" t="s">
        <v>725</v>
      </c>
      <c r="D127" s="599"/>
      <c r="E127" s="10" t="s">
        <v>439</v>
      </c>
      <c r="F127" s="10" t="s">
        <v>558</v>
      </c>
      <c r="G127" s="600"/>
      <c r="H127" s="659"/>
      <c r="I127" s="201"/>
      <c r="J127" s="220"/>
      <c r="K127" s="176"/>
      <c r="L127" s="176"/>
      <c r="M127" s="210"/>
    </row>
    <row r="128" spans="1:13" ht="12.75" hidden="1">
      <c r="A128" s="135" t="s">
        <v>750</v>
      </c>
      <c r="B128" s="253"/>
      <c r="C128" s="717" t="s">
        <v>150</v>
      </c>
      <c r="D128" s="611"/>
      <c r="E128" s="125" t="s">
        <v>439</v>
      </c>
      <c r="F128" s="125" t="s">
        <v>558</v>
      </c>
      <c r="G128" s="610" t="s">
        <v>765</v>
      </c>
      <c r="H128" s="671"/>
      <c r="I128" s="201"/>
      <c r="J128" s="220"/>
      <c r="K128" s="176"/>
      <c r="L128" s="176"/>
      <c r="M128" s="210"/>
    </row>
    <row r="129" spans="1:13" ht="12.75" hidden="1">
      <c r="A129" s="138" t="s">
        <v>726</v>
      </c>
      <c r="B129" s="12"/>
      <c r="C129" s="717" t="s">
        <v>240</v>
      </c>
      <c r="D129" s="615"/>
      <c r="E129" s="30" t="s">
        <v>439</v>
      </c>
      <c r="F129" s="30" t="s">
        <v>558</v>
      </c>
      <c r="G129" s="603" t="s">
        <v>765</v>
      </c>
      <c r="H129" s="661" t="s">
        <v>241</v>
      </c>
      <c r="I129" s="201"/>
      <c r="J129" s="220"/>
      <c r="K129" s="176"/>
      <c r="L129" s="176"/>
      <c r="M129" s="210"/>
    </row>
    <row r="130" spans="1:13" ht="12.75" hidden="1">
      <c r="A130" s="139" t="s">
        <v>727</v>
      </c>
      <c r="B130" s="6"/>
      <c r="C130" s="719" t="s">
        <v>260</v>
      </c>
      <c r="D130" s="604"/>
      <c r="E130" s="5" t="s">
        <v>439</v>
      </c>
      <c r="F130" s="5" t="s">
        <v>558</v>
      </c>
      <c r="G130" s="607" t="s">
        <v>765</v>
      </c>
      <c r="H130" s="663" t="s">
        <v>451</v>
      </c>
      <c r="I130" s="201"/>
      <c r="J130" s="220"/>
      <c r="K130" s="176"/>
      <c r="L130" s="176"/>
      <c r="M130" s="210"/>
    </row>
    <row r="131" spans="1:13" ht="12.75" hidden="1">
      <c r="A131" s="144" t="s">
        <v>185</v>
      </c>
      <c r="B131" s="18"/>
      <c r="C131" s="726" t="s">
        <v>115</v>
      </c>
      <c r="D131" s="604"/>
      <c r="E131" s="5" t="s">
        <v>439</v>
      </c>
      <c r="F131" s="5" t="s">
        <v>558</v>
      </c>
      <c r="G131" s="607" t="s">
        <v>765</v>
      </c>
      <c r="H131" s="663" t="s">
        <v>763</v>
      </c>
      <c r="I131" s="201"/>
      <c r="J131" s="220"/>
      <c r="K131" s="176"/>
      <c r="L131" s="176"/>
      <c r="M131" s="210"/>
    </row>
    <row r="132" spans="1:13" ht="48" hidden="1" thickBot="1">
      <c r="A132" s="132" t="s">
        <v>608</v>
      </c>
      <c r="B132" s="257"/>
      <c r="C132" s="730" t="s">
        <v>227</v>
      </c>
      <c r="D132" s="620"/>
      <c r="E132" s="165" t="s">
        <v>257</v>
      </c>
      <c r="F132" s="165"/>
      <c r="G132" s="621"/>
      <c r="H132" s="672"/>
      <c r="I132" s="201"/>
      <c r="J132" s="220"/>
      <c r="K132" s="176"/>
      <c r="L132" s="176"/>
      <c r="M132" s="210"/>
    </row>
    <row r="133" spans="1:16" ht="40.5" customHeight="1" hidden="1" thickBot="1">
      <c r="A133" s="133" t="s">
        <v>103</v>
      </c>
      <c r="B133" s="253"/>
      <c r="C133" s="731" t="s">
        <v>736</v>
      </c>
      <c r="D133" s="622"/>
      <c r="E133" s="126" t="s">
        <v>265</v>
      </c>
      <c r="F133" s="126"/>
      <c r="G133" s="609"/>
      <c r="H133" s="664"/>
      <c r="I133" s="201"/>
      <c r="J133" s="220"/>
      <c r="K133" s="176"/>
      <c r="L133" s="176"/>
      <c r="M133" s="210"/>
      <c r="N133" s="95"/>
      <c r="O133" s="95"/>
      <c r="P133" s="95"/>
    </row>
    <row r="134" spans="1:16" ht="16.5" customHeight="1">
      <c r="A134" s="133"/>
      <c r="B134" s="23" t="s">
        <v>673</v>
      </c>
      <c r="C134" s="310" t="s">
        <v>965</v>
      </c>
      <c r="D134" s="100">
        <v>968</v>
      </c>
      <c r="E134" s="100">
        <v>309</v>
      </c>
      <c r="F134" s="100" t="s">
        <v>677</v>
      </c>
      <c r="G134" s="600"/>
      <c r="H134" s="659"/>
      <c r="I134" s="230" t="e">
        <f>I135+I137+I139</f>
        <v>#REF!</v>
      </c>
      <c r="J134" s="220"/>
      <c r="K134" s="176"/>
      <c r="L134" s="176"/>
      <c r="M134" s="210"/>
      <c r="N134" s="95"/>
      <c r="O134" s="95"/>
      <c r="P134" s="95"/>
    </row>
    <row r="135" spans="1:16" ht="58.5" customHeight="1">
      <c r="A135" s="133"/>
      <c r="B135" s="12" t="s">
        <v>90</v>
      </c>
      <c r="C135" s="1094" t="s">
        <v>951</v>
      </c>
      <c r="D135" s="705">
        <v>968</v>
      </c>
      <c r="E135" s="705">
        <v>309</v>
      </c>
      <c r="F135" s="705" t="str">
        <f>F136</f>
        <v>219 03 00</v>
      </c>
      <c r="G135" s="705"/>
      <c r="H135" s="666"/>
      <c r="I135" s="651">
        <f>I136</f>
        <v>141.993</v>
      </c>
      <c r="J135" s="220"/>
      <c r="K135" s="176"/>
      <c r="L135" s="176"/>
      <c r="M135" s="210"/>
      <c r="N135" s="95"/>
      <c r="O135" s="95"/>
      <c r="P135" s="95"/>
    </row>
    <row r="136" spans="1:16" ht="13.5" customHeight="1">
      <c r="A136" s="133"/>
      <c r="B136" s="6" t="s">
        <v>137</v>
      </c>
      <c r="C136" s="646" t="s">
        <v>920</v>
      </c>
      <c r="D136" s="644">
        <v>968</v>
      </c>
      <c r="E136" s="644">
        <v>309</v>
      </c>
      <c r="F136" s="644" t="s">
        <v>952</v>
      </c>
      <c r="G136" s="644">
        <v>240</v>
      </c>
      <c r="H136" s="669"/>
      <c r="I136" s="645">
        <f>'Бюд.р.'!H290</f>
        <v>141.993</v>
      </c>
      <c r="J136" s="220"/>
      <c r="K136" s="176"/>
      <c r="L136" s="176"/>
      <c r="M136" s="210"/>
      <c r="N136" s="95"/>
      <c r="O136" s="95"/>
      <c r="P136" s="95"/>
    </row>
    <row r="137" spans="1:16" ht="38.25" customHeight="1">
      <c r="A137" s="133"/>
      <c r="B137" s="12" t="s">
        <v>200</v>
      </c>
      <c r="C137" s="313" t="s">
        <v>953</v>
      </c>
      <c r="D137" s="705">
        <v>968</v>
      </c>
      <c r="E137" s="705">
        <v>309</v>
      </c>
      <c r="F137" s="705" t="str">
        <f>F138</f>
        <v>219 01 00</v>
      </c>
      <c r="G137" s="705"/>
      <c r="H137" s="666"/>
      <c r="I137" s="651" t="e">
        <f>I138</f>
        <v>#REF!</v>
      </c>
      <c r="J137" s="220"/>
      <c r="K137" s="176"/>
      <c r="L137" s="176"/>
      <c r="M137" s="210"/>
      <c r="N137" s="95"/>
      <c r="O137" s="95"/>
      <c r="P137" s="95"/>
    </row>
    <row r="138" spans="1:16" ht="12" customHeight="1">
      <c r="A138" s="133"/>
      <c r="B138" s="6" t="s">
        <v>138</v>
      </c>
      <c r="C138" s="646" t="s">
        <v>920</v>
      </c>
      <c r="D138" s="644">
        <v>968</v>
      </c>
      <c r="E138" s="644">
        <v>309</v>
      </c>
      <c r="F138" s="644" t="s">
        <v>954</v>
      </c>
      <c r="G138" s="644">
        <v>240</v>
      </c>
      <c r="H138" s="669"/>
      <c r="I138" s="645" t="e">
        <f>'Бюд.р.'!#REF!</f>
        <v>#REF!</v>
      </c>
      <c r="J138" s="220"/>
      <c r="K138" s="176"/>
      <c r="L138" s="176"/>
      <c r="M138" s="210"/>
      <c r="N138" s="95"/>
      <c r="O138" s="95"/>
      <c r="P138" s="95"/>
    </row>
    <row r="139" spans="1:16" ht="45" customHeight="1" hidden="1">
      <c r="A139" s="133"/>
      <c r="B139" s="12" t="s">
        <v>139</v>
      </c>
      <c r="C139" s="732" t="s">
        <v>28</v>
      </c>
      <c r="D139" s="705">
        <v>968</v>
      </c>
      <c r="E139" s="705">
        <v>309</v>
      </c>
      <c r="F139" s="705" t="s">
        <v>13</v>
      </c>
      <c r="G139" s="705"/>
      <c r="H139" s="666"/>
      <c r="I139" s="651">
        <f>I140</f>
        <v>0</v>
      </c>
      <c r="J139" s="220"/>
      <c r="K139" s="176"/>
      <c r="L139" s="176"/>
      <c r="M139" s="210"/>
      <c r="N139" s="95"/>
      <c r="O139" s="95"/>
      <c r="P139" s="95"/>
    </row>
    <row r="140" spans="1:16" ht="12.75" customHeight="1" hidden="1">
      <c r="A140" s="133"/>
      <c r="B140" s="6" t="s">
        <v>144</v>
      </c>
      <c r="C140" s="728" t="s">
        <v>415</v>
      </c>
      <c r="D140" s="644">
        <v>968</v>
      </c>
      <c r="E140" s="644">
        <v>309</v>
      </c>
      <c r="F140" s="644" t="s">
        <v>13</v>
      </c>
      <c r="G140" s="644">
        <v>500</v>
      </c>
      <c r="H140" s="669"/>
      <c r="I140" s="645">
        <f>'Бюд.р.'!H299</f>
        <v>0</v>
      </c>
      <c r="J140" s="220"/>
      <c r="K140" s="176"/>
      <c r="L140" s="176"/>
      <c r="M140" s="210"/>
      <c r="N140" s="95"/>
      <c r="O140" s="95"/>
      <c r="P140" s="95"/>
    </row>
    <row r="141" spans="1:13" ht="21.75" customHeight="1" hidden="1">
      <c r="A141" s="134" t="s">
        <v>245</v>
      </c>
      <c r="B141" s="23"/>
      <c r="C141" s="732"/>
      <c r="D141" s="286"/>
      <c r="E141" s="286"/>
      <c r="F141" s="286"/>
      <c r="G141" s="564"/>
      <c r="H141" s="671"/>
      <c r="I141" s="588"/>
      <c r="J141" s="218">
        <f>J142</f>
        <v>37.5</v>
      </c>
      <c r="K141" s="127">
        <f>K142</f>
        <v>288.6</v>
      </c>
      <c r="L141" s="127">
        <f>L142</f>
        <v>202</v>
      </c>
      <c r="M141" s="242">
        <f>M142</f>
        <v>33</v>
      </c>
    </row>
    <row r="142" spans="1:13" ht="13.5" customHeight="1" hidden="1">
      <c r="A142" s="135" t="s">
        <v>182</v>
      </c>
      <c r="B142" s="6"/>
      <c r="C142" s="728"/>
      <c r="D142" s="644"/>
      <c r="E142" s="644"/>
      <c r="F142" s="644"/>
      <c r="G142" s="644"/>
      <c r="H142" s="669"/>
      <c r="I142" s="645"/>
      <c r="J142" s="219">
        <v>37.5</v>
      </c>
      <c r="K142" s="130">
        <v>288.6</v>
      </c>
      <c r="L142" s="130">
        <v>202</v>
      </c>
      <c r="M142" s="243">
        <v>33</v>
      </c>
    </row>
    <row r="143" spans="1:13" ht="45">
      <c r="A143" s="134" t="s">
        <v>233</v>
      </c>
      <c r="B143" s="23" t="s">
        <v>738</v>
      </c>
      <c r="C143" s="732" t="s">
        <v>950</v>
      </c>
      <c r="D143" s="286">
        <v>968</v>
      </c>
      <c r="E143" s="286">
        <v>309</v>
      </c>
      <c r="F143" s="286" t="str">
        <f>F144</f>
        <v>795 05 00</v>
      </c>
      <c r="G143" s="286"/>
      <c r="H143" s="671"/>
      <c r="I143" s="588">
        <f>I144</f>
        <v>85.642</v>
      </c>
      <c r="J143" s="218"/>
      <c r="K143" s="127">
        <f>K144</f>
        <v>25</v>
      </c>
      <c r="L143" s="127"/>
      <c r="M143" s="242">
        <f>M144</f>
        <v>25</v>
      </c>
    </row>
    <row r="144" spans="1:13" ht="13.5" customHeight="1" thickBot="1">
      <c r="A144" s="135" t="s">
        <v>679</v>
      </c>
      <c r="B144" s="6" t="s">
        <v>10</v>
      </c>
      <c r="C144" s="728" t="s">
        <v>415</v>
      </c>
      <c r="D144" s="644">
        <v>968</v>
      </c>
      <c r="E144" s="644">
        <v>309</v>
      </c>
      <c r="F144" s="644" t="s">
        <v>15</v>
      </c>
      <c r="G144" s="644">
        <v>240</v>
      </c>
      <c r="H144" s="669"/>
      <c r="I144" s="981">
        <f>'Бюд.р.'!H311</f>
        <v>85.642</v>
      </c>
      <c r="J144" s="219"/>
      <c r="K144" s="130">
        <v>25</v>
      </c>
      <c r="L144" s="130"/>
      <c r="M144" s="243">
        <v>25</v>
      </c>
    </row>
    <row r="145" spans="1:13" ht="15.75" hidden="1">
      <c r="A145" s="147" t="s">
        <v>680</v>
      </c>
      <c r="B145" s="257"/>
      <c r="C145" s="717" t="s">
        <v>240</v>
      </c>
      <c r="D145" s="615"/>
      <c r="E145" s="30" t="s">
        <v>265</v>
      </c>
      <c r="F145" s="30" t="s">
        <v>677</v>
      </c>
      <c r="G145" s="603" t="s">
        <v>259</v>
      </c>
      <c r="H145" s="268" t="s">
        <v>241</v>
      </c>
      <c r="I145" s="225"/>
      <c r="J145" s="220"/>
      <c r="K145" s="176"/>
      <c r="L145" s="176"/>
      <c r="M145" s="210"/>
    </row>
    <row r="146" spans="1:13" ht="12.75" hidden="1">
      <c r="A146" s="143" t="s">
        <v>651</v>
      </c>
      <c r="B146" s="253"/>
      <c r="C146" s="720" t="s">
        <v>224</v>
      </c>
      <c r="D146" s="606"/>
      <c r="E146" s="5" t="s">
        <v>265</v>
      </c>
      <c r="F146" s="5" t="s">
        <v>677</v>
      </c>
      <c r="G146" s="607" t="s">
        <v>259</v>
      </c>
      <c r="H146" s="25" t="s">
        <v>264</v>
      </c>
      <c r="I146" s="201"/>
      <c r="J146" s="220"/>
      <c r="K146" s="176"/>
      <c r="L146" s="176"/>
      <c r="M146" s="210"/>
    </row>
    <row r="147" spans="1:13" ht="32.25" hidden="1" thickBot="1">
      <c r="A147" s="132" t="s">
        <v>609</v>
      </c>
      <c r="B147" s="23" t="s">
        <v>146</v>
      </c>
      <c r="C147" s="730" t="s">
        <v>229</v>
      </c>
      <c r="D147" s="620"/>
      <c r="E147" s="165" t="s">
        <v>764</v>
      </c>
      <c r="F147" s="165"/>
      <c r="G147" s="621"/>
      <c r="H147" s="269"/>
      <c r="I147" s="201"/>
      <c r="J147" s="220"/>
      <c r="K147" s="176"/>
      <c r="L147" s="176"/>
      <c r="M147" s="210"/>
    </row>
    <row r="148" spans="1:13" ht="12.75" hidden="1">
      <c r="A148" s="133" t="s">
        <v>103</v>
      </c>
      <c r="B148" s="6" t="s">
        <v>147</v>
      </c>
      <c r="C148" s="721" t="s">
        <v>289</v>
      </c>
      <c r="D148" s="608"/>
      <c r="E148" s="124" t="s">
        <v>249</v>
      </c>
      <c r="F148" s="124"/>
      <c r="G148" s="616"/>
      <c r="H148" s="262"/>
      <c r="I148" s="201"/>
      <c r="J148" s="220"/>
      <c r="K148" s="176"/>
      <c r="L148" s="176"/>
      <c r="M148" s="210"/>
    </row>
    <row r="149" spans="1:13" ht="15" hidden="1">
      <c r="A149" s="133"/>
      <c r="B149" s="835"/>
      <c r="C149" s="836"/>
      <c r="D149" s="837"/>
      <c r="E149" s="837"/>
      <c r="F149" s="838"/>
      <c r="G149" s="839"/>
      <c r="H149" s="840"/>
      <c r="I149" s="841"/>
      <c r="J149" s="220"/>
      <c r="K149" s="176"/>
      <c r="L149" s="176"/>
      <c r="M149" s="210"/>
    </row>
    <row r="150" spans="1:13" ht="12.75" hidden="1">
      <c r="A150" s="133"/>
      <c r="B150" s="253"/>
      <c r="C150" s="771"/>
      <c r="D150" s="772"/>
      <c r="E150" s="772"/>
      <c r="F150" s="772"/>
      <c r="G150" s="772"/>
      <c r="H150" s="773"/>
      <c r="I150" s="774"/>
      <c r="J150" s="220"/>
      <c r="K150" s="176"/>
      <c r="L150" s="176"/>
      <c r="M150" s="210"/>
    </row>
    <row r="151" spans="1:13" ht="13.5" hidden="1" thickBot="1">
      <c r="A151" s="133"/>
      <c r="B151" s="842"/>
      <c r="C151" s="843"/>
      <c r="D151" s="794"/>
      <c r="E151" s="794"/>
      <c r="F151" s="794"/>
      <c r="G151" s="794"/>
      <c r="H151" s="844"/>
      <c r="I151" s="739"/>
      <c r="J151" s="220"/>
      <c r="K151" s="176"/>
      <c r="L151" s="176"/>
      <c r="M151" s="210"/>
    </row>
    <row r="152" spans="1:13" ht="15.75" thickBot="1">
      <c r="A152" s="133"/>
      <c r="B152" s="951" t="s">
        <v>609</v>
      </c>
      <c r="C152" s="930" t="s">
        <v>817</v>
      </c>
      <c r="D152" s="931">
        <v>968</v>
      </c>
      <c r="E152" s="931">
        <v>400</v>
      </c>
      <c r="F152" s="931"/>
      <c r="G152" s="931"/>
      <c r="H152" s="932"/>
      <c r="I152" s="933">
        <f>I153+I156</f>
        <v>172.414</v>
      </c>
      <c r="J152" s="220"/>
      <c r="K152" s="176"/>
      <c r="L152" s="176"/>
      <c r="M152" s="210"/>
    </row>
    <row r="153" spans="1:13" ht="15">
      <c r="A153" s="133"/>
      <c r="B153" s="898" t="s">
        <v>297</v>
      </c>
      <c r="C153" s="1038" t="s">
        <v>866</v>
      </c>
      <c r="D153" s="899">
        <v>968</v>
      </c>
      <c r="E153" s="899">
        <v>401</v>
      </c>
      <c r="F153" s="899"/>
      <c r="G153" s="899"/>
      <c r="H153" s="900"/>
      <c r="I153" s="901">
        <f>I154</f>
        <v>152.414</v>
      </c>
      <c r="J153" s="220"/>
      <c r="K153" s="176"/>
      <c r="L153" s="176"/>
      <c r="M153" s="210"/>
    </row>
    <row r="154" spans="1:13" ht="27" customHeight="1">
      <c r="A154" s="133"/>
      <c r="B154" s="253" t="s">
        <v>98</v>
      </c>
      <c r="C154" s="313" t="s">
        <v>944</v>
      </c>
      <c r="D154" s="286">
        <v>968</v>
      </c>
      <c r="E154" s="286">
        <v>401</v>
      </c>
      <c r="F154" s="286" t="s">
        <v>867</v>
      </c>
      <c r="G154" s="286"/>
      <c r="H154" s="264"/>
      <c r="I154" s="651">
        <f>I155</f>
        <v>152.414</v>
      </c>
      <c r="J154" s="220"/>
      <c r="K154" s="176"/>
      <c r="L154" s="176"/>
      <c r="M154" s="210"/>
    </row>
    <row r="155" spans="1:13" ht="24" customHeight="1">
      <c r="A155" s="133"/>
      <c r="B155" s="842" t="s">
        <v>67</v>
      </c>
      <c r="C155" s="646" t="s">
        <v>922</v>
      </c>
      <c r="D155" s="794">
        <v>968</v>
      </c>
      <c r="E155" s="794">
        <v>401</v>
      </c>
      <c r="F155" s="794" t="s">
        <v>867</v>
      </c>
      <c r="G155" s="794">
        <v>810</v>
      </c>
      <c r="H155" s="844"/>
      <c r="I155" s="739">
        <f>'Бюд.р.'!H321</f>
        <v>152.414</v>
      </c>
      <c r="J155" s="220"/>
      <c r="K155" s="176"/>
      <c r="L155" s="176"/>
      <c r="M155" s="210"/>
    </row>
    <row r="156" spans="1:13" ht="30">
      <c r="A156" s="133"/>
      <c r="B156" s="1039" t="s">
        <v>740</v>
      </c>
      <c r="C156" s="1040" t="s">
        <v>818</v>
      </c>
      <c r="D156" s="913">
        <v>968</v>
      </c>
      <c r="E156" s="913">
        <v>412</v>
      </c>
      <c r="F156" s="913"/>
      <c r="G156" s="913"/>
      <c r="H156" s="1041"/>
      <c r="I156" s="1042">
        <f>I157</f>
        <v>20</v>
      </c>
      <c r="J156" s="220"/>
      <c r="K156" s="176"/>
      <c r="L156" s="176"/>
      <c r="M156" s="210"/>
    </row>
    <row r="157" spans="1:13" ht="26.25" customHeight="1">
      <c r="A157" s="133"/>
      <c r="B157" s="253" t="s">
        <v>91</v>
      </c>
      <c r="C157" s="313" t="s">
        <v>820</v>
      </c>
      <c r="D157" s="286">
        <v>968</v>
      </c>
      <c r="E157" s="286">
        <v>412</v>
      </c>
      <c r="F157" s="286" t="s">
        <v>819</v>
      </c>
      <c r="G157" s="286"/>
      <c r="H157" s="264"/>
      <c r="I157" s="651">
        <f>I158</f>
        <v>20</v>
      </c>
      <c r="J157" s="220"/>
      <c r="K157" s="176"/>
      <c r="L157" s="176"/>
      <c r="M157" s="210"/>
    </row>
    <row r="158" spans="1:13" ht="13.5" thickBot="1">
      <c r="A158" s="133"/>
      <c r="B158" s="842" t="s">
        <v>868</v>
      </c>
      <c r="C158" s="646" t="s">
        <v>920</v>
      </c>
      <c r="D158" s="794">
        <v>968</v>
      </c>
      <c r="E158" s="794">
        <v>412</v>
      </c>
      <c r="F158" s="794" t="s">
        <v>819</v>
      </c>
      <c r="G158" s="794">
        <v>240</v>
      </c>
      <c r="H158" s="844"/>
      <c r="I158" s="739">
        <f>'Бюд.р.'!H330</f>
        <v>20</v>
      </c>
      <c r="J158" s="220"/>
      <c r="K158" s="176"/>
      <c r="L158" s="176"/>
      <c r="M158" s="210"/>
    </row>
    <row r="159" spans="1:13" ht="15.75" thickBot="1">
      <c r="A159" s="133"/>
      <c r="B159" s="934" t="s">
        <v>610</v>
      </c>
      <c r="C159" s="935" t="s">
        <v>229</v>
      </c>
      <c r="D159" s="936" t="s">
        <v>591</v>
      </c>
      <c r="E159" s="937" t="s">
        <v>394</v>
      </c>
      <c r="F159" s="937"/>
      <c r="G159" s="938"/>
      <c r="H159" s="939"/>
      <c r="I159" s="940">
        <f>I160</f>
        <v>50635.210999999996</v>
      </c>
      <c r="J159" s="224" t="e">
        <f>J160</f>
        <v>#REF!</v>
      </c>
      <c r="K159" s="209" t="e">
        <f>K160</f>
        <v>#REF!</v>
      </c>
      <c r="L159" s="209" t="e">
        <f>L160</f>
        <v>#REF!</v>
      </c>
      <c r="M159" s="247" t="e">
        <f>M160</f>
        <v>#REF!</v>
      </c>
    </row>
    <row r="160" spans="1:13" ht="15">
      <c r="A160" s="133"/>
      <c r="B160" s="898" t="s">
        <v>371</v>
      </c>
      <c r="C160" s="897" t="s">
        <v>395</v>
      </c>
      <c r="D160" s="902" t="s">
        <v>591</v>
      </c>
      <c r="E160" s="903" t="s">
        <v>396</v>
      </c>
      <c r="F160" s="903"/>
      <c r="G160" s="904"/>
      <c r="H160" s="905"/>
      <c r="I160" s="906">
        <f>I161+I177+I184+I194</f>
        <v>50635.210999999996</v>
      </c>
      <c r="J160" s="217" t="e">
        <f>J161+J177+J184+J194</f>
        <v>#REF!</v>
      </c>
      <c r="K160" s="93" t="e">
        <f>K161+K177+K184+K194</f>
        <v>#REF!</v>
      </c>
      <c r="L160" s="93" t="e">
        <f>L161+L177+L184+L194</f>
        <v>#REF!</v>
      </c>
      <c r="M160" s="241" t="e">
        <f>M161+M177+M184+M194</f>
        <v>#REF!</v>
      </c>
    </row>
    <row r="161" spans="1:13" ht="24.75" customHeight="1">
      <c r="A161" s="133"/>
      <c r="B161" s="21" t="s">
        <v>92</v>
      </c>
      <c r="C161" s="733" t="s">
        <v>966</v>
      </c>
      <c r="D161" s="707" t="s">
        <v>591</v>
      </c>
      <c r="E161" s="708" t="s">
        <v>396</v>
      </c>
      <c r="F161" s="708" t="s">
        <v>397</v>
      </c>
      <c r="G161" s="709"/>
      <c r="H161" s="710"/>
      <c r="I161" s="711">
        <f>I162+I164+I166+I169</f>
        <v>36648.477</v>
      </c>
      <c r="J161" s="94" t="e">
        <f>J162+#REF!+#REF!+#REF!+#REF!</f>
        <v>#REF!</v>
      </c>
      <c r="K161" s="92" t="e">
        <f>K162+#REF!+#REF!+#REF!+#REF!</f>
        <v>#REF!</v>
      </c>
      <c r="L161" s="92" t="e">
        <f>L162+#REF!+#REF!+#REF!+#REF!</f>
        <v>#REF!</v>
      </c>
      <c r="M161" s="211" t="e">
        <f>M162+#REF!+#REF!+#REF!+#REF!</f>
        <v>#REF!</v>
      </c>
    </row>
    <row r="162" spans="1:13" ht="34.5" customHeight="1">
      <c r="A162" s="134" t="s">
        <v>245</v>
      </c>
      <c r="B162" s="23" t="s">
        <v>93</v>
      </c>
      <c r="C162" s="734" t="s">
        <v>398</v>
      </c>
      <c r="D162" s="611" t="s">
        <v>591</v>
      </c>
      <c r="E162" s="125" t="s">
        <v>396</v>
      </c>
      <c r="F162" s="125" t="s">
        <v>399</v>
      </c>
      <c r="G162" s="610"/>
      <c r="H162" s="266"/>
      <c r="I162" s="588">
        <f>I163</f>
        <v>32325.856</v>
      </c>
      <c r="J162" s="218">
        <f>SUM(J163:J165)</f>
        <v>0</v>
      </c>
      <c r="K162" s="127">
        <f>SUM(K163:K165)</f>
        <v>1764.8</v>
      </c>
      <c r="L162" s="127">
        <f>SUM(L163:L165)</f>
        <v>4118</v>
      </c>
      <c r="M162" s="242">
        <f>SUM(M163:M165)</f>
        <v>0</v>
      </c>
    </row>
    <row r="163" spans="1:13" ht="12.75">
      <c r="A163" s="135" t="s">
        <v>182</v>
      </c>
      <c r="B163" s="6" t="s">
        <v>869</v>
      </c>
      <c r="C163" s="646" t="s">
        <v>920</v>
      </c>
      <c r="D163" s="601" t="s">
        <v>591</v>
      </c>
      <c r="E163" s="123" t="s">
        <v>396</v>
      </c>
      <c r="F163" s="123" t="s">
        <v>399</v>
      </c>
      <c r="G163" s="602" t="s">
        <v>441</v>
      </c>
      <c r="H163" s="264"/>
      <c r="I163" s="229">
        <f>'Бюд.р.'!H338</f>
        <v>32325.856</v>
      </c>
      <c r="J163" s="219"/>
      <c r="K163" s="130">
        <v>1764.8</v>
      </c>
      <c r="L163" s="130">
        <v>4118</v>
      </c>
      <c r="M163" s="243"/>
    </row>
    <row r="164" spans="1:13" ht="22.5">
      <c r="A164" s="148" t="s">
        <v>183</v>
      </c>
      <c r="B164" s="23" t="s">
        <v>870</v>
      </c>
      <c r="C164" s="891" t="s">
        <v>967</v>
      </c>
      <c r="D164" s="599" t="s">
        <v>591</v>
      </c>
      <c r="E164" s="10" t="s">
        <v>396</v>
      </c>
      <c r="F164" s="10" t="s">
        <v>400</v>
      </c>
      <c r="G164" s="600"/>
      <c r="H164" s="268"/>
      <c r="I164" s="651">
        <f>I165</f>
        <v>369.69800000000004</v>
      </c>
      <c r="J164" s="220"/>
      <c r="K164" s="176"/>
      <c r="L164" s="176"/>
      <c r="M164" s="210"/>
    </row>
    <row r="165" spans="1:13" ht="12.75">
      <c r="A165" s="149" t="s">
        <v>651</v>
      </c>
      <c r="B165" s="6" t="s">
        <v>871</v>
      </c>
      <c r="C165" s="646" t="s">
        <v>920</v>
      </c>
      <c r="D165" s="601" t="s">
        <v>591</v>
      </c>
      <c r="E165" s="123" t="s">
        <v>396</v>
      </c>
      <c r="F165" s="123" t="s">
        <v>400</v>
      </c>
      <c r="G165" s="602" t="s">
        <v>441</v>
      </c>
      <c r="H165" s="25"/>
      <c r="I165" s="229">
        <f>'Бюд.р.'!H348</f>
        <v>369.69800000000004</v>
      </c>
      <c r="J165" s="220"/>
      <c r="K165" s="176"/>
      <c r="L165" s="176"/>
      <c r="M165" s="210"/>
    </row>
    <row r="166" spans="1:13" ht="12.75">
      <c r="A166" s="149"/>
      <c r="B166" s="23" t="s">
        <v>872</v>
      </c>
      <c r="C166" s="732" t="s">
        <v>29</v>
      </c>
      <c r="D166" s="286">
        <v>968</v>
      </c>
      <c r="E166" s="286">
        <v>503</v>
      </c>
      <c r="F166" s="286" t="s">
        <v>401</v>
      </c>
      <c r="G166" s="286"/>
      <c r="H166" s="25"/>
      <c r="I166" s="651">
        <f>I167+I168</f>
        <v>2318.251</v>
      </c>
      <c r="J166" s="219"/>
      <c r="K166" s="130"/>
      <c r="L166" s="130"/>
      <c r="M166" s="243"/>
    </row>
    <row r="167" spans="1:13" ht="12.75">
      <c r="A167" s="149"/>
      <c r="B167" s="6" t="s">
        <v>873</v>
      </c>
      <c r="C167" s="646" t="s">
        <v>920</v>
      </c>
      <c r="D167" s="644">
        <v>968</v>
      </c>
      <c r="E167" s="644">
        <v>503</v>
      </c>
      <c r="F167" s="644" t="s">
        <v>401</v>
      </c>
      <c r="G167" s="644">
        <v>240</v>
      </c>
      <c r="H167" s="267"/>
      <c r="I167" s="645">
        <f>'Бюд.р.'!H353</f>
        <v>2318.251</v>
      </c>
      <c r="J167" s="219"/>
      <c r="K167" s="130"/>
      <c r="L167" s="130"/>
      <c r="M167" s="243"/>
    </row>
    <row r="168" spans="1:13" ht="33.75" hidden="1">
      <c r="A168" s="149"/>
      <c r="B168" s="6" t="s">
        <v>71</v>
      </c>
      <c r="C168" s="728" t="s">
        <v>733</v>
      </c>
      <c r="D168" s="644">
        <v>968</v>
      </c>
      <c r="E168" s="644">
        <v>503</v>
      </c>
      <c r="F168" s="644" t="s">
        <v>401</v>
      </c>
      <c r="G168" s="644">
        <v>599</v>
      </c>
      <c r="H168" s="267"/>
      <c r="I168" s="645">
        <f>'Бюд.р.'!H357</f>
        <v>0</v>
      </c>
      <c r="J168" s="219"/>
      <c r="K168" s="130"/>
      <c r="L168" s="130"/>
      <c r="M168" s="243"/>
    </row>
    <row r="169" spans="1:13" ht="33.75">
      <c r="A169" s="149"/>
      <c r="B169" s="23" t="s">
        <v>968</v>
      </c>
      <c r="C169" s="732" t="s">
        <v>402</v>
      </c>
      <c r="D169" s="286">
        <v>968</v>
      </c>
      <c r="E169" s="286">
        <v>503</v>
      </c>
      <c r="F169" s="286" t="s">
        <v>403</v>
      </c>
      <c r="G169" s="286"/>
      <c r="H169" s="267"/>
      <c r="I169" s="651">
        <f>I170</f>
        <v>1634.6719999999998</v>
      </c>
      <c r="J169" s="219"/>
      <c r="K169" s="130"/>
      <c r="L169" s="130"/>
      <c r="M169" s="243"/>
    </row>
    <row r="170" spans="1:13" ht="12.75">
      <c r="A170" s="149"/>
      <c r="B170" s="6" t="s">
        <v>969</v>
      </c>
      <c r="C170" s="646" t="s">
        <v>920</v>
      </c>
      <c r="D170" s="644">
        <v>968</v>
      </c>
      <c r="E170" s="644">
        <v>503</v>
      </c>
      <c r="F170" s="644" t="s">
        <v>403</v>
      </c>
      <c r="G170" s="644">
        <v>240</v>
      </c>
      <c r="H170" s="267"/>
      <c r="I170" s="645">
        <f>'Бюд.р.'!H364</f>
        <v>1634.6719999999998</v>
      </c>
      <c r="J170" s="219"/>
      <c r="K170" s="130"/>
      <c r="L170" s="130"/>
      <c r="M170" s="243"/>
    </row>
    <row r="171" spans="1:13" ht="24" hidden="1">
      <c r="A171" s="148" t="s">
        <v>653</v>
      </c>
      <c r="B171" s="23"/>
      <c r="C171" s="717" t="s">
        <v>240</v>
      </c>
      <c r="D171" s="615"/>
      <c r="E171" s="30" t="s">
        <v>249</v>
      </c>
      <c r="F171" s="30" t="s">
        <v>36</v>
      </c>
      <c r="G171" s="603" t="s">
        <v>248</v>
      </c>
      <c r="H171" s="268" t="s">
        <v>241</v>
      </c>
      <c r="I171" s="201"/>
      <c r="J171" s="220"/>
      <c r="K171" s="176"/>
      <c r="L171" s="176"/>
      <c r="M171" s="210"/>
    </row>
    <row r="172" spans="1:13" ht="12.75" hidden="1">
      <c r="A172" s="150" t="s">
        <v>651</v>
      </c>
      <c r="B172" s="2"/>
      <c r="C172" s="720" t="s">
        <v>224</v>
      </c>
      <c r="D172" s="606"/>
      <c r="E172" s="5" t="s">
        <v>249</v>
      </c>
      <c r="F172" s="5" t="s">
        <v>36</v>
      </c>
      <c r="G172" s="607" t="s">
        <v>248</v>
      </c>
      <c r="H172" s="25" t="s">
        <v>264</v>
      </c>
      <c r="I172" s="201"/>
      <c r="J172" s="220"/>
      <c r="K172" s="176"/>
      <c r="L172" s="176"/>
      <c r="M172" s="210"/>
    </row>
    <row r="173" spans="1:13" ht="109.5" customHeight="1" hidden="1">
      <c r="A173" s="134" t="s">
        <v>654</v>
      </c>
      <c r="B173" s="253"/>
      <c r="C173" s="723" t="s">
        <v>171</v>
      </c>
      <c r="D173" s="599"/>
      <c r="E173" s="10" t="s">
        <v>249</v>
      </c>
      <c r="F173" s="10" t="s">
        <v>719</v>
      </c>
      <c r="G173" s="600"/>
      <c r="H173" s="263"/>
      <c r="I173" s="201"/>
      <c r="J173" s="220"/>
      <c r="K173" s="176"/>
      <c r="L173" s="176"/>
      <c r="M173" s="210"/>
    </row>
    <row r="174" spans="1:13" ht="22.5" customHeight="1" hidden="1">
      <c r="A174" s="135" t="s">
        <v>655</v>
      </c>
      <c r="B174" s="253"/>
      <c r="C174" s="734" t="s">
        <v>814</v>
      </c>
      <c r="D174" s="611"/>
      <c r="E174" s="125" t="s">
        <v>249</v>
      </c>
      <c r="F174" s="125" t="s">
        <v>719</v>
      </c>
      <c r="G174" s="610" t="s">
        <v>248</v>
      </c>
      <c r="H174" s="266"/>
      <c r="I174" s="201"/>
      <c r="J174" s="220"/>
      <c r="K174" s="176"/>
      <c r="L174" s="176"/>
      <c r="M174" s="210"/>
    </row>
    <row r="175" spans="1:13" ht="12.75" customHeight="1" hidden="1">
      <c r="A175" s="148" t="s">
        <v>656</v>
      </c>
      <c r="B175" s="23"/>
      <c r="C175" s="717" t="s">
        <v>240</v>
      </c>
      <c r="D175" s="615"/>
      <c r="E175" s="30" t="s">
        <v>249</v>
      </c>
      <c r="F175" s="30" t="s">
        <v>718</v>
      </c>
      <c r="G175" s="603" t="s">
        <v>248</v>
      </c>
      <c r="H175" s="268" t="s">
        <v>241</v>
      </c>
      <c r="I175" s="201"/>
      <c r="J175" s="220"/>
      <c r="K175" s="176"/>
      <c r="L175" s="176"/>
      <c r="M175" s="210"/>
    </row>
    <row r="176" spans="1:13" ht="12.75" customHeight="1" hidden="1">
      <c r="A176" s="150" t="s">
        <v>651</v>
      </c>
      <c r="B176" s="2"/>
      <c r="C176" s="720" t="s">
        <v>224</v>
      </c>
      <c r="D176" s="606"/>
      <c r="E176" s="5" t="s">
        <v>249</v>
      </c>
      <c r="F176" s="5" t="s">
        <v>718</v>
      </c>
      <c r="G176" s="607" t="s">
        <v>248</v>
      </c>
      <c r="H176" s="25" t="s">
        <v>264</v>
      </c>
      <c r="I176" s="201"/>
      <c r="J176" s="220"/>
      <c r="K176" s="176"/>
      <c r="L176" s="176"/>
      <c r="M176" s="210"/>
    </row>
    <row r="177" spans="1:13" ht="24.75" customHeight="1">
      <c r="A177" s="150"/>
      <c r="B177" s="22" t="s">
        <v>874</v>
      </c>
      <c r="C177" s="889" t="s">
        <v>955</v>
      </c>
      <c r="D177" s="624" t="s">
        <v>591</v>
      </c>
      <c r="E177" s="206" t="s">
        <v>396</v>
      </c>
      <c r="F177" s="206" t="s">
        <v>407</v>
      </c>
      <c r="G177" s="625"/>
      <c r="H177" s="684"/>
      <c r="I177" s="213">
        <f>I178+I180+I182</f>
        <v>198.17000000000002</v>
      </c>
      <c r="J177" s="94">
        <f>J178+J180+J182</f>
        <v>0</v>
      </c>
      <c r="K177" s="92">
        <f>K178+K180+K182</f>
        <v>2087.1</v>
      </c>
      <c r="L177" s="92">
        <f>L178+L180+L182</f>
        <v>2263.6</v>
      </c>
      <c r="M177" s="211">
        <f>M178+M180+M182</f>
        <v>0</v>
      </c>
    </row>
    <row r="178" spans="1:13" ht="23.25" customHeight="1">
      <c r="A178" s="134" t="s">
        <v>654</v>
      </c>
      <c r="B178" s="23" t="s">
        <v>875</v>
      </c>
      <c r="C178" s="717" t="s">
        <v>463</v>
      </c>
      <c r="D178" s="599" t="s">
        <v>591</v>
      </c>
      <c r="E178" s="10" t="s">
        <v>396</v>
      </c>
      <c r="F178" s="10" t="s">
        <v>464</v>
      </c>
      <c r="G178" s="600"/>
      <c r="H178" s="263"/>
      <c r="I178" s="230">
        <f>I179</f>
        <v>0</v>
      </c>
      <c r="J178" s="218">
        <f>J179</f>
        <v>0</v>
      </c>
      <c r="K178" s="127">
        <f>K179</f>
        <v>1087.1</v>
      </c>
      <c r="L178" s="127">
        <f>L179</f>
        <v>1666</v>
      </c>
      <c r="M178" s="242">
        <f>M179</f>
        <v>0</v>
      </c>
    </row>
    <row r="179" spans="1:13" ht="12.75">
      <c r="A179" s="50" t="s">
        <v>655</v>
      </c>
      <c r="B179" s="2" t="s">
        <v>876</v>
      </c>
      <c r="C179" s="646" t="s">
        <v>920</v>
      </c>
      <c r="D179" s="601" t="s">
        <v>591</v>
      </c>
      <c r="E179" s="123" t="s">
        <v>396</v>
      </c>
      <c r="F179" s="123" t="s">
        <v>464</v>
      </c>
      <c r="G179" s="602" t="s">
        <v>441</v>
      </c>
      <c r="H179" s="264"/>
      <c r="I179" s="229">
        <f>'Бюд.р.'!H373</f>
        <v>0</v>
      </c>
      <c r="J179" s="219">
        <v>0</v>
      </c>
      <c r="K179" s="130">
        <v>1087.1</v>
      </c>
      <c r="L179" s="130">
        <v>1666</v>
      </c>
      <c r="M179" s="243">
        <v>0</v>
      </c>
    </row>
    <row r="180" spans="1:13" ht="22.5">
      <c r="A180" s="134" t="s">
        <v>657</v>
      </c>
      <c r="B180" s="23" t="s">
        <v>877</v>
      </c>
      <c r="C180" s="734" t="s">
        <v>465</v>
      </c>
      <c r="D180" s="599" t="s">
        <v>591</v>
      </c>
      <c r="E180" s="10" t="s">
        <v>396</v>
      </c>
      <c r="F180" s="10" t="s">
        <v>376</v>
      </c>
      <c r="G180" s="600"/>
      <c r="H180" s="263"/>
      <c r="I180" s="230">
        <f>I181</f>
        <v>0</v>
      </c>
      <c r="J180" s="218">
        <f>J181</f>
        <v>0</v>
      </c>
      <c r="K180" s="127">
        <f>K181</f>
        <v>500</v>
      </c>
      <c r="L180" s="127">
        <f>L181</f>
        <v>300</v>
      </c>
      <c r="M180" s="242">
        <f>M181</f>
        <v>0</v>
      </c>
    </row>
    <row r="181" spans="1:13" ht="12.75">
      <c r="A181" s="50" t="s">
        <v>658</v>
      </c>
      <c r="B181" s="2" t="s">
        <v>878</v>
      </c>
      <c r="C181" s="646" t="s">
        <v>920</v>
      </c>
      <c r="D181" s="601" t="s">
        <v>591</v>
      </c>
      <c r="E181" s="123" t="s">
        <v>396</v>
      </c>
      <c r="F181" s="123" t="s">
        <v>376</v>
      </c>
      <c r="G181" s="602" t="s">
        <v>441</v>
      </c>
      <c r="H181" s="264"/>
      <c r="I181" s="229">
        <f>'Бюд.р.'!H379</f>
        <v>0</v>
      </c>
      <c r="J181" s="219">
        <v>0</v>
      </c>
      <c r="K181" s="130">
        <v>500</v>
      </c>
      <c r="L181" s="130">
        <v>300</v>
      </c>
      <c r="M181" s="243">
        <v>0</v>
      </c>
    </row>
    <row r="182" spans="1:13" ht="22.5">
      <c r="A182" s="202"/>
      <c r="B182" s="258" t="s">
        <v>879</v>
      </c>
      <c r="C182" s="734" t="s">
        <v>375</v>
      </c>
      <c r="D182" s="599" t="s">
        <v>591</v>
      </c>
      <c r="E182" s="10" t="s">
        <v>396</v>
      </c>
      <c r="F182" s="10" t="s">
        <v>956</v>
      </c>
      <c r="G182" s="600"/>
      <c r="H182" s="268"/>
      <c r="I182" s="230">
        <f>I183</f>
        <v>198.17000000000002</v>
      </c>
      <c r="J182" s="218">
        <f>J183</f>
        <v>0</v>
      </c>
      <c r="K182" s="127">
        <f>K183</f>
        <v>500</v>
      </c>
      <c r="L182" s="127">
        <f>L183</f>
        <v>297.6</v>
      </c>
      <c r="M182" s="242">
        <f>M183</f>
        <v>0</v>
      </c>
    </row>
    <row r="183" spans="1:13" ht="13.5" customHeight="1">
      <c r="A183" s="202"/>
      <c r="B183" s="56" t="s">
        <v>880</v>
      </c>
      <c r="C183" s="646" t="s">
        <v>920</v>
      </c>
      <c r="D183" s="601" t="s">
        <v>591</v>
      </c>
      <c r="E183" s="123" t="s">
        <v>396</v>
      </c>
      <c r="F183" s="123" t="s">
        <v>956</v>
      </c>
      <c r="G183" s="602" t="s">
        <v>441</v>
      </c>
      <c r="H183" s="25"/>
      <c r="I183" s="229">
        <f>'Бюд.р.'!H384</f>
        <v>198.17000000000002</v>
      </c>
      <c r="J183" s="219">
        <v>0</v>
      </c>
      <c r="K183" s="130">
        <v>500</v>
      </c>
      <c r="L183" s="130">
        <v>297.6</v>
      </c>
      <c r="M183" s="243">
        <v>0</v>
      </c>
    </row>
    <row r="184" spans="1:13" ht="15" customHeight="1">
      <c r="A184" s="202"/>
      <c r="B184" s="22" t="s">
        <v>881</v>
      </c>
      <c r="C184" s="735" t="s">
        <v>660</v>
      </c>
      <c r="D184" s="624" t="s">
        <v>591</v>
      </c>
      <c r="E184" s="206" t="s">
        <v>396</v>
      </c>
      <c r="F184" s="206" t="s">
        <v>661</v>
      </c>
      <c r="G184" s="626"/>
      <c r="H184" s="684"/>
      <c r="I184" s="213">
        <f>I185+I188+I192+I190</f>
        <v>7744.922</v>
      </c>
      <c r="J184" s="94">
        <f>J185+J188</f>
        <v>0</v>
      </c>
      <c r="K184" s="92">
        <f>K185+K188</f>
        <v>4320.8</v>
      </c>
      <c r="L184" s="92">
        <f>L185+L188</f>
        <v>8025.1</v>
      </c>
      <c r="M184" s="211">
        <f>M185+M188</f>
        <v>0</v>
      </c>
    </row>
    <row r="185" spans="1:13" ht="24" customHeight="1">
      <c r="A185" s="202"/>
      <c r="B185" s="258" t="s">
        <v>882</v>
      </c>
      <c r="C185" s="313" t="s">
        <v>957</v>
      </c>
      <c r="D185" s="611" t="s">
        <v>591</v>
      </c>
      <c r="E185" s="125" t="s">
        <v>396</v>
      </c>
      <c r="F185" s="125" t="s">
        <v>659</v>
      </c>
      <c r="G185" s="610"/>
      <c r="H185" s="265"/>
      <c r="I185" s="588">
        <f>SUM(I186:I187)</f>
        <v>7297.972</v>
      </c>
      <c r="J185" s="218">
        <f>SUM(J186:J187)</f>
        <v>0</v>
      </c>
      <c r="K185" s="127">
        <f>SUM(K186:K187)</f>
        <v>3963.7</v>
      </c>
      <c r="L185" s="127">
        <f>SUM(L186:L187)</f>
        <v>7464.6</v>
      </c>
      <c r="M185" s="242">
        <f>SUM(M186:M187)</f>
        <v>0</v>
      </c>
    </row>
    <row r="186" spans="1:13" ht="13.5" customHeight="1" thickBot="1">
      <c r="A186" s="202"/>
      <c r="B186" s="56" t="s">
        <v>883</v>
      </c>
      <c r="C186" s="646" t="s">
        <v>920</v>
      </c>
      <c r="D186" s="601" t="s">
        <v>591</v>
      </c>
      <c r="E186" s="123" t="s">
        <v>396</v>
      </c>
      <c r="F186" s="123" t="s">
        <v>659</v>
      </c>
      <c r="G186" s="602" t="s">
        <v>441</v>
      </c>
      <c r="H186" s="25"/>
      <c r="I186" s="229">
        <f>'Бюд.р.'!H393</f>
        <v>7297.972</v>
      </c>
      <c r="J186" s="219">
        <v>0</v>
      </c>
      <c r="K186" s="130">
        <v>2852.2</v>
      </c>
      <c r="L186" s="130">
        <v>4871.1</v>
      </c>
      <c r="M186" s="243">
        <v>0</v>
      </c>
    </row>
    <row r="187" spans="1:13" ht="36" customHeight="1" hidden="1" thickBot="1">
      <c r="A187" s="202"/>
      <c r="B187" s="56" t="s">
        <v>72</v>
      </c>
      <c r="C187" s="718" t="s">
        <v>733</v>
      </c>
      <c r="D187" s="601" t="s">
        <v>591</v>
      </c>
      <c r="E187" s="123" t="s">
        <v>396</v>
      </c>
      <c r="F187" s="123" t="s">
        <v>659</v>
      </c>
      <c r="G187" s="602" t="s">
        <v>462</v>
      </c>
      <c r="H187" s="25"/>
      <c r="I187" s="229">
        <f>'Бюд.р.'!H396</f>
        <v>0</v>
      </c>
      <c r="J187" s="219">
        <v>0</v>
      </c>
      <c r="K187" s="130">
        <v>1111.5</v>
      </c>
      <c r="L187" s="130">
        <v>2593.5</v>
      </c>
      <c r="M187" s="243">
        <v>0</v>
      </c>
    </row>
    <row r="188" spans="1:13" ht="16.5" customHeight="1">
      <c r="A188" s="152" t="s">
        <v>605</v>
      </c>
      <c r="B188" s="23" t="s">
        <v>884</v>
      </c>
      <c r="C188" s="313" t="s">
        <v>958</v>
      </c>
      <c r="D188" s="611" t="s">
        <v>591</v>
      </c>
      <c r="E188" s="125" t="s">
        <v>396</v>
      </c>
      <c r="F188" s="125" t="s">
        <v>662</v>
      </c>
      <c r="G188" s="610"/>
      <c r="H188" s="266"/>
      <c r="I188" s="588">
        <f>I189</f>
        <v>296.95</v>
      </c>
      <c r="J188" s="218">
        <f>J189</f>
        <v>0</v>
      </c>
      <c r="K188" s="127">
        <f>K189</f>
        <v>357.1</v>
      </c>
      <c r="L188" s="127">
        <f>L189</f>
        <v>560.5</v>
      </c>
      <c r="M188" s="242">
        <f>M189</f>
        <v>0</v>
      </c>
    </row>
    <row r="189" spans="1:13" ht="12.75">
      <c r="A189" s="50" t="s">
        <v>606</v>
      </c>
      <c r="B189" s="2" t="s">
        <v>885</v>
      </c>
      <c r="C189" s="646" t="s">
        <v>920</v>
      </c>
      <c r="D189" s="601" t="s">
        <v>591</v>
      </c>
      <c r="E189" s="123" t="s">
        <v>396</v>
      </c>
      <c r="F189" s="123" t="s">
        <v>662</v>
      </c>
      <c r="G189" s="602" t="s">
        <v>441</v>
      </c>
      <c r="H189" s="264"/>
      <c r="I189" s="229">
        <f>'Бюд.р.'!H403</f>
        <v>296.95</v>
      </c>
      <c r="J189" s="219">
        <v>0</v>
      </c>
      <c r="K189" s="130">
        <v>357.1</v>
      </c>
      <c r="L189" s="130">
        <v>560.5</v>
      </c>
      <c r="M189" s="243">
        <v>0</v>
      </c>
    </row>
    <row r="190" spans="1:13" ht="36" customHeight="1">
      <c r="A190" s="1097"/>
      <c r="B190" s="259" t="s">
        <v>886</v>
      </c>
      <c r="C190" s="313" t="s">
        <v>977</v>
      </c>
      <c r="D190" s="623">
        <v>968</v>
      </c>
      <c r="E190" s="286">
        <v>503</v>
      </c>
      <c r="F190" s="1095" t="str">
        <f>F191</f>
        <v>600 03 04</v>
      </c>
      <c r="G190" s="1098"/>
      <c r="H190" s="660"/>
      <c r="I190" s="229">
        <f>I191</f>
        <v>0</v>
      </c>
      <c r="J190" s="219"/>
      <c r="K190" s="130"/>
      <c r="L190" s="130"/>
      <c r="M190" s="243"/>
    </row>
    <row r="191" spans="1:13" ht="12.75">
      <c r="A191" s="1097"/>
      <c r="B191" s="2" t="s">
        <v>887</v>
      </c>
      <c r="C191" s="646" t="s">
        <v>920</v>
      </c>
      <c r="D191" s="601" t="s">
        <v>591</v>
      </c>
      <c r="E191" s="123" t="s">
        <v>396</v>
      </c>
      <c r="F191" s="123" t="s">
        <v>976</v>
      </c>
      <c r="G191" s="602" t="s">
        <v>441</v>
      </c>
      <c r="H191" s="673"/>
      <c r="I191" s="229">
        <f>'Бюд.р.'!H411</f>
        <v>0</v>
      </c>
      <c r="J191" s="219"/>
      <c r="K191" s="130"/>
      <c r="L191" s="130"/>
      <c r="M191" s="243"/>
    </row>
    <row r="192" spans="1:13" ht="22.5">
      <c r="A192" s="153"/>
      <c r="B192" s="258" t="s">
        <v>978</v>
      </c>
      <c r="C192" s="313" t="s">
        <v>960</v>
      </c>
      <c r="D192" s="286">
        <v>968</v>
      </c>
      <c r="E192" s="286">
        <v>503</v>
      </c>
      <c r="F192" s="286" t="str">
        <f>F193</f>
        <v>600 03 05</v>
      </c>
      <c r="G192" s="286"/>
      <c r="H192" s="685"/>
      <c r="I192" s="651">
        <f>I193</f>
        <v>150</v>
      </c>
      <c r="J192" s="220"/>
      <c r="K192" s="176"/>
      <c r="L192" s="176"/>
      <c r="M192" s="210"/>
    </row>
    <row r="193" spans="1:13" ht="12.75">
      <c r="A193" s="153"/>
      <c r="B193" s="2" t="s">
        <v>979</v>
      </c>
      <c r="C193" s="646" t="s">
        <v>920</v>
      </c>
      <c r="D193" s="644">
        <v>968</v>
      </c>
      <c r="E193" s="644">
        <v>503</v>
      </c>
      <c r="F193" s="644" t="s">
        <v>959</v>
      </c>
      <c r="G193" s="644">
        <v>240</v>
      </c>
      <c r="H193" s="712"/>
      <c r="I193" s="645">
        <f>'Бюд.р.'!H415</f>
        <v>150</v>
      </c>
      <c r="J193" s="220"/>
      <c r="K193" s="176"/>
      <c r="L193" s="176"/>
      <c r="M193" s="210"/>
    </row>
    <row r="194" spans="1:13" ht="12" customHeight="1">
      <c r="A194" s="153"/>
      <c r="B194" s="22" t="s">
        <v>888</v>
      </c>
      <c r="C194" s="892" t="s">
        <v>961</v>
      </c>
      <c r="D194" s="624" t="s">
        <v>591</v>
      </c>
      <c r="E194" s="206" t="s">
        <v>396</v>
      </c>
      <c r="F194" s="206" t="s">
        <v>663</v>
      </c>
      <c r="G194" s="628"/>
      <c r="H194" s="686"/>
      <c r="I194" s="213">
        <f>I199+I197+I195</f>
        <v>6043.642</v>
      </c>
      <c r="J194" s="94">
        <f>J199+J201</f>
        <v>0</v>
      </c>
      <c r="K194" s="92">
        <f>K199+K201</f>
        <v>0</v>
      </c>
      <c r="L194" s="92">
        <f>L199+L201</f>
        <v>0</v>
      </c>
      <c r="M194" s="211">
        <f>M199+M201</f>
        <v>500</v>
      </c>
    </row>
    <row r="195" spans="1:13" ht="21.75" customHeight="1">
      <c r="A195" s="153"/>
      <c r="B195" s="259" t="s">
        <v>889</v>
      </c>
      <c r="C195" s="313" t="s">
        <v>962</v>
      </c>
      <c r="D195" s="599" t="s">
        <v>591</v>
      </c>
      <c r="E195" s="10" t="s">
        <v>396</v>
      </c>
      <c r="F195" s="10" t="s">
        <v>664</v>
      </c>
      <c r="G195" s="629"/>
      <c r="H195" s="683"/>
      <c r="I195" s="230">
        <f>I196</f>
        <v>4108.826</v>
      </c>
      <c r="J195" s="218">
        <f>J196</f>
        <v>0</v>
      </c>
      <c r="K195" s="127">
        <f>K196</f>
        <v>0</v>
      </c>
      <c r="L195" s="127">
        <f>L196</f>
        <v>0</v>
      </c>
      <c r="M195" s="242">
        <f>M196</f>
        <v>0</v>
      </c>
    </row>
    <row r="196" spans="1:13" ht="13.5" customHeight="1">
      <c r="A196" s="153"/>
      <c r="B196" s="2" t="s">
        <v>890</v>
      </c>
      <c r="C196" s="646" t="s">
        <v>920</v>
      </c>
      <c r="D196" s="601" t="s">
        <v>591</v>
      </c>
      <c r="E196" s="123" t="s">
        <v>396</v>
      </c>
      <c r="F196" s="123" t="s">
        <v>664</v>
      </c>
      <c r="G196" s="602" t="s">
        <v>441</v>
      </c>
      <c r="H196" s="685"/>
      <c r="I196" s="229">
        <f>'Бюд.р.'!H421</f>
        <v>4108.826</v>
      </c>
      <c r="J196" s="219">
        <v>0</v>
      </c>
      <c r="K196" s="130">
        <v>0</v>
      </c>
      <c r="L196" s="130">
        <v>0</v>
      </c>
      <c r="M196" s="243">
        <v>0</v>
      </c>
    </row>
    <row r="197" spans="1:13" ht="21.75" customHeight="1">
      <c r="A197" s="153"/>
      <c r="B197" s="259" t="s">
        <v>891</v>
      </c>
      <c r="C197" s="1096" t="s">
        <v>963</v>
      </c>
      <c r="D197" s="599" t="s">
        <v>591</v>
      </c>
      <c r="E197" s="10" t="s">
        <v>396</v>
      </c>
      <c r="F197" s="10" t="s">
        <v>681</v>
      </c>
      <c r="G197" s="629"/>
      <c r="H197" s="685"/>
      <c r="I197" s="643">
        <f>I198</f>
        <v>1134.8159999999998</v>
      </c>
      <c r="J197" s="219"/>
      <c r="K197" s="130"/>
      <c r="L197" s="130"/>
      <c r="M197" s="243"/>
    </row>
    <row r="198" spans="1:13" ht="13.5" customHeight="1">
      <c r="A198" s="153"/>
      <c r="B198" s="2" t="s">
        <v>892</v>
      </c>
      <c r="C198" s="646" t="s">
        <v>920</v>
      </c>
      <c r="D198" s="601" t="s">
        <v>591</v>
      </c>
      <c r="E198" s="123" t="s">
        <v>396</v>
      </c>
      <c r="F198" s="123" t="s">
        <v>681</v>
      </c>
      <c r="G198" s="602" t="s">
        <v>441</v>
      </c>
      <c r="H198" s="685"/>
      <c r="I198" s="229">
        <f>'Бюд.р.'!H429</f>
        <v>1134.8159999999998</v>
      </c>
      <c r="J198" s="219"/>
      <c r="K198" s="130"/>
      <c r="L198" s="130"/>
      <c r="M198" s="243"/>
    </row>
    <row r="199" spans="1:13" ht="33" customHeight="1">
      <c r="A199" s="153"/>
      <c r="B199" s="259" t="s">
        <v>970</v>
      </c>
      <c r="C199" s="734" t="s">
        <v>133</v>
      </c>
      <c r="D199" s="599" t="s">
        <v>591</v>
      </c>
      <c r="E199" s="10" t="s">
        <v>396</v>
      </c>
      <c r="F199" s="10" t="s">
        <v>825</v>
      </c>
      <c r="G199" s="629"/>
      <c r="H199" s="683"/>
      <c r="I199" s="230">
        <f>I200</f>
        <v>800</v>
      </c>
      <c r="J199" s="218">
        <f>J200</f>
        <v>0</v>
      </c>
      <c r="K199" s="127">
        <f>K200</f>
        <v>0</v>
      </c>
      <c r="L199" s="127">
        <f>L200</f>
        <v>0</v>
      </c>
      <c r="M199" s="242">
        <f>M200</f>
        <v>500</v>
      </c>
    </row>
    <row r="200" spans="1:13" ht="12" customHeight="1" thickBot="1">
      <c r="A200" s="153"/>
      <c r="B200" s="2" t="s">
        <v>971</v>
      </c>
      <c r="C200" s="646" t="s">
        <v>920</v>
      </c>
      <c r="D200" s="601" t="s">
        <v>591</v>
      </c>
      <c r="E200" s="123" t="s">
        <v>396</v>
      </c>
      <c r="F200" s="123" t="s">
        <v>825</v>
      </c>
      <c r="G200" s="602" t="s">
        <v>441</v>
      </c>
      <c r="H200" s="685"/>
      <c r="I200" s="229">
        <f>'Бюд.р.'!H434</f>
        <v>800</v>
      </c>
      <c r="J200" s="219">
        <v>0</v>
      </c>
      <c r="K200" s="130">
        <v>0</v>
      </c>
      <c r="L200" s="130">
        <v>0</v>
      </c>
      <c r="M200" s="243">
        <v>500</v>
      </c>
    </row>
    <row r="201" spans="1:13" ht="22.5" hidden="1">
      <c r="A201" s="153"/>
      <c r="B201" s="2" t="s">
        <v>73</v>
      </c>
      <c r="C201" s="717" t="s">
        <v>682</v>
      </c>
      <c r="D201" s="599" t="s">
        <v>591</v>
      </c>
      <c r="E201" s="10" t="s">
        <v>396</v>
      </c>
      <c r="F201" s="10" t="s">
        <v>683</v>
      </c>
      <c r="G201" s="629"/>
      <c r="H201" s="683"/>
      <c r="I201" s="230" t="e">
        <f>I202</f>
        <v>#REF!</v>
      </c>
      <c r="J201" s="218">
        <f>J202</f>
        <v>0</v>
      </c>
      <c r="K201" s="127">
        <f>K202</f>
        <v>0</v>
      </c>
      <c r="L201" s="127">
        <f>L202</f>
        <v>0</v>
      </c>
      <c r="M201" s="242">
        <f>M202</f>
        <v>0</v>
      </c>
    </row>
    <row r="202" spans="1:13" ht="14.25" customHeight="1" hidden="1">
      <c r="A202" s="153"/>
      <c r="B202" s="858" t="s">
        <v>149</v>
      </c>
      <c r="C202" s="952" t="s">
        <v>415</v>
      </c>
      <c r="D202" s="637" t="s">
        <v>591</v>
      </c>
      <c r="E202" s="872" t="s">
        <v>396</v>
      </c>
      <c r="F202" s="872" t="s">
        <v>683</v>
      </c>
      <c r="G202" s="873" t="s">
        <v>764</v>
      </c>
      <c r="H202" s="959"/>
      <c r="I202" s="364" t="e">
        <f>'Бюд.р.'!#REF!</f>
        <v>#REF!</v>
      </c>
      <c r="J202" s="219">
        <v>0</v>
      </c>
      <c r="K202" s="130">
        <v>0</v>
      </c>
      <c r="L202" s="130">
        <v>0</v>
      </c>
      <c r="M202" s="243">
        <v>0</v>
      </c>
    </row>
    <row r="203" spans="1:13" ht="15.75" thickBot="1">
      <c r="A203" s="153"/>
      <c r="B203" s="941" t="s">
        <v>611</v>
      </c>
      <c r="C203" s="935" t="s">
        <v>684</v>
      </c>
      <c r="D203" s="936" t="s">
        <v>591</v>
      </c>
      <c r="E203" s="937" t="s">
        <v>685</v>
      </c>
      <c r="F203" s="962"/>
      <c r="G203" s="965"/>
      <c r="H203" s="958"/>
      <c r="I203" s="940">
        <f aca="true" t="shared" si="1" ref="I203:M205">I204</f>
        <v>0</v>
      </c>
      <c r="J203" s="224">
        <f t="shared" si="1"/>
        <v>0</v>
      </c>
      <c r="K203" s="209">
        <f t="shared" si="1"/>
        <v>8</v>
      </c>
      <c r="L203" s="209">
        <f t="shared" si="1"/>
        <v>0</v>
      </c>
      <c r="M203" s="247">
        <f t="shared" si="1"/>
        <v>0</v>
      </c>
    </row>
    <row r="204" spans="1:13" ht="28.5" customHeight="1">
      <c r="A204" s="153"/>
      <c r="B204" s="953" t="s">
        <v>372</v>
      </c>
      <c r="C204" s="897" t="s">
        <v>687</v>
      </c>
      <c r="D204" s="902" t="s">
        <v>591</v>
      </c>
      <c r="E204" s="903" t="s">
        <v>686</v>
      </c>
      <c r="F204" s="911"/>
      <c r="G204" s="909"/>
      <c r="H204" s="956"/>
      <c r="I204" s="906">
        <f t="shared" si="1"/>
        <v>0</v>
      </c>
      <c r="J204" s="217">
        <f t="shared" si="1"/>
        <v>0</v>
      </c>
      <c r="K204" s="93">
        <f t="shared" si="1"/>
        <v>8</v>
      </c>
      <c r="L204" s="93">
        <f t="shared" si="1"/>
        <v>0</v>
      </c>
      <c r="M204" s="241">
        <f t="shared" si="1"/>
        <v>0</v>
      </c>
    </row>
    <row r="205" spans="1:13" ht="22.5">
      <c r="A205" s="153"/>
      <c r="B205" s="259" t="s">
        <v>11</v>
      </c>
      <c r="C205" s="736" t="s">
        <v>688</v>
      </c>
      <c r="D205" s="599" t="s">
        <v>591</v>
      </c>
      <c r="E205" s="10" t="s">
        <v>686</v>
      </c>
      <c r="F205" s="10" t="s">
        <v>689</v>
      </c>
      <c r="G205" s="630"/>
      <c r="H205" s="683"/>
      <c r="I205" s="230">
        <f t="shared" si="1"/>
        <v>0</v>
      </c>
      <c r="J205" s="218">
        <f t="shared" si="1"/>
        <v>0</v>
      </c>
      <c r="K205" s="127">
        <f t="shared" si="1"/>
        <v>8</v>
      </c>
      <c r="L205" s="127">
        <f t="shared" si="1"/>
        <v>0</v>
      </c>
      <c r="M205" s="242">
        <f t="shared" si="1"/>
        <v>0</v>
      </c>
    </row>
    <row r="206" spans="1:13" ht="13.5" thickBot="1">
      <c r="A206" s="153"/>
      <c r="B206" s="858" t="s">
        <v>12</v>
      </c>
      <c r="C206" s="646" t="s">
        <v>920</v>
      </c>
      <c r="D206" s="637" t="s">
        <v>591</v>
      </c>
      <c r="E206" s="872" t="s">
        <v>686</v>
      </c>
      <c r="F206" s="872" t="s">
        <v>689</v>
      </c>
      <c r="G206" s="873" t="s">
        <v>441</v>
      </c>
      <c r="H206" s="959"/>
      <c r="I206" s="364">
        <f>'Бюд.р.'!H440</f>
        <v>0</v>
      </c>
      <c r="J206" s="219">
        <v>0</v>
      </c>
      <c r="K206" s="130">
        <v>8</v>
      </c>
      <c r="L206" s="130">
        <v>0</v>
      </c>
      <c r="M206" s="243">
        <v>0</v>
      </c>
    </row>
    <row r="207" spans="1:13" ht="15.75" thickBot="1">
      <c r="A207" s="153"/>
      <c r="B207" s="941" t="s">
        <v>612</v>
      </c>
      <c r="C207" s="935" t="s">
        <v>236</v>
      </c>
      <c r="D207" s="936" t="s">
        <v>591</v>
      </c>
      <c r="E207" s="937" t="s">
        <v>358</v>
      </c>
      <c r="F207" s="962"/>
      <c r="G207" s="963"/>
      <c r="H207" s="964"/>
      <c r="I207" s="940">
        <f>I214+I221</f>
        <v>2832.6100000000006</v>
      </c>
      <c r="J207" s="224">
        <f>J214</f>
        <v>585</v>
      </c>
      <c r="K207" s="209">
        <f>K214</f>
        <v>667</v>
      </c>
      <c r="L207" s="209">
        <f>L214</f>
        <v>485</v>
      </c>
      <c r="M207" s="247">
        <f>M214</f>
        <v>1170</v>
      </c>
    </row>
    <row r="208" spans="1:13" ht="60">
      <c r="A208" s="153"/>
      <c r="B208" s="875" t="s">
        <v>5</v>
      </c>
      <c r="C208" s="887" t="s">
        <v>992</v>
      </c>
      <c r="D208" s="862" t="s">
        <v>591</v>
      </c>
      <c r="E208" s="871" t="s">
        <v>993</v>
      </c>
      <c r="F208" s="868"/>
      <c r="G208" s="876"/>
      <c r="H208" s="877"/>
      <c r="I208" s="863">
        <f>I209</f>
        <v>164.40000000000003</v>
      </c>
      <c r="J208" s="224"/>
      <c r="K208" s="209"/>
      <c r="L208" s="209"/>
      <c r="M208" s="247"/>
    </row>
    <row r="209" spans="1:13" ht="56.25">
      <c r="A209" s="153"/>
      <c r="B209" s="258" t="s">
        <v>6</v>
      </c>
      <c r="C209" s="883" t="s">
        <v>1000</v>
      </c>
      <c r="D209" s="599" t="s">
        <v>591</v>
      </c>
      <c r="E209" s="10" t="s">
        <v>993</v>
      </c>
      <c r="F209" s="10" t="s">
        <v>999</v>
      </c>
      <c r="G209" s="600"/>
      <c r="H209" s="659"/>
      <c r="I209" s="230">
        <f>I210+I212</f>
        <v>164.40000000000003</v>
      </c>
      <c r="J209" s="224"/>
      <c r="K209" s="209"/>
      <c r="L209" s="209"/>
      <c r="M209" s="247"/>
    </row>
    <row r="210" spans="1:13" ht="45">
      <c r="A210" s="153"/>
      <c r="B210" s="42" t="s">
        <v>7</v>
      </c>
      <c r="C210" s="883" t="s">
        <v>1003</v>
      </c>
      <c r="D210" s="611" t="s">
        <v>591</v>
      </c>
      <c r="E210" s="125" t="s">
        <v>993</v>
      </c>
      <c r="F210" s="125" t="s">
        <v>1001</v>
      </c>
      <c r="G210" s="610"/>
      <c r="H210" s="671"/>
      <c r="I210" s="588">
        <f>I211</f>
        <v>0</v>
      </c>
      <c r="J210" s="224"/>
      <c r="K210" s="209"/>
      <c r="L210" s="209"/>
      <c r="M210" s="247"/>
    </row>
    <row r="211" spans="1:13" ht="15">
      <c r="A211" s="153"/>
      <c r="B211" s="2" t="s">
        <v>994</v>
      </c>
      <c r="C211" s="646" t="s">
        <v>920</v>
      </c>
      <c r="D211" s="601" t="s">
        <v>591</v>
      </c>
      <c r="E211" s="123" t="s">
        <v>359</v>
      </c>
      <c r="F211" s="123" t="s">
        <v>1001</v>
      </c>
      <c r="G211" s="602" t="s">
        <v>1008</v>
      </c>
      <c r="H211" s="660"/>
      <c r="I211" s="229">
        <f>'Бюд.р.'!H449</f>
        <v>0</v>
      </c>
      <c r="J211" s="224"/>
      <c r="K211" s="209"/>
      <c r="L211" s="209"/>
      <c r="M211" s="247"/>
    </row>
    <row r="212" spans="1:13" ht="22.5">
      <c r="A212" s="153"/>
      <c r="B212" s="42" t="s">
        <v>1006</v>
      </c>
      <c r="C212" s="313" t="s">
        <v>1004</v>
      </c>
      <c r="D212" s="611" t="s">
        <v>591</v>
      </c>
      <c r="E212" s="125" t="s">
        <v>993</v>
      </c>
      <c r="F212" s="125" t="s">
        <v>1005</v>
      </c>
      <c r="G212" s="610"/>
      <c r="H212" s="671"/>
      <c r="I212" s="588">
        <f>I213</f>
        <v>164.40000000000003</v>
      </c>
      <c r="J212" s="224"/>
      <c r="K212" s="209"/>
      <c r="L212" s="209"/>
      <c r="M212" s="247"/>
    </row>
    <row r="213" spans="1:13" ht="15">
      <c r="A213" s="153"/>
      <c r="B213" s="2" t="s">
        <v>1007</v>
      </c>
      <c r="C213" s="646" t="s">
        <v>920</v>
      </c>
      <c r="D213" s="601" t="s">
        <v>591</v>
      </c>
      <c r="E213" s="123" t="s">
        <v>359</v>
      </c>
      <c r="F213" s="123" t="s">
        <v>1005</v>
      </c>
      <c r="G213" s="602" t="s">
        <v>1008</v>
      </c>
      <c r="H213" s="660"/>
      <c r="I213" s="229">
        <f>'Бюд.р.'!H454</f>
        <v>164.40000000000003</v>
      </c>
      <c r="J213" s="224"/>
      <c r="K213" s="209"/>
      <c r="L213" s="209"/>
      <c r="M213" s="247"/>
    </row>
    <row r="214" spans="1:13" ht="30">
      <c r="A214" s="153"/>
      <c r="B214" s="953" t="s">
        <v>94</v>
      </c>
      <c r="C214" s="897" t="s">
        <v>357</v>
      </c>
      <c r="D214" s="902" t="s">
        <v>591</v>
      </c>
      <c r="E214" s="903" t="s">
        <v>359</v>
      </c>
      <c r="F214" s="911"/>
      <c r="G214" s="960"/>
      <c r="H214" s="961"/>
      <c r="I214" s="906">
        <f>I215+I219</f>
        <v>2714.6000000000004</v>
      </c>
      <c r="J214" s="217">
        <f>J215+J219</f>
        <v>585</v>
      </c>
      <c r="K214" s="93">
        <f>K215+K219</f>
        <v>667</v>
      </c>
      <c r="L214" s="93">
        <f>L215+L219</f>
        <v>485</v>
      </c>
      <c r="M214" s="241">
        <f>M215+M219</f>
        <v>1170</v>
      </c>
    </row>
    <row r="215" spans="1:13" ht="35.25" customHeight="1">
      <c r="A215" s="154" t="s">
        <v>245</v>
      </c>
      <c r="B215" s="258" t="s">
        <v>95</v>
      </c>
      <c r="C215" s="717" t="s">
        <v>360</v>
      </c>
      <c r="D215" s="599" t="s">
        <v>591</v>
      </c>
      <c r="E215" s="10" t="s">
        <v>359</v>
      </c>
      <c r="F215" s="10" t="s">
        <v>221</v>
      </c>
      <c r="G215" s="600"/>
      <c r="H215" s="263"/>
      <c r="I215" s="230">
        <f>I216</f>
        <v>1103.7</v>
      </c>
      <c r="J215" s="218">
        <f>J216</f>
        <v>90</v>
      </c>
      <c r="K215" s="127">
        <f>K216</f>
        <v>479</v>
      </c>
      <c r="L215" s="127">
        <f>L216</f>
        <v>485</v>
      </c>
      <c r="M215" s="242">
        <f>M216</f>
        <v>310</v>
      </c>
    </row>
    <row r="216" spans="1:13" ht="12.75">
      <c r="A216" s="50" t="s">
        <v>182</v>
      </c>
      <c r="B216" s="2" t="s">
        <v>96</v>
      </c>
      <c r="C216" s="646" t="s">
        <v>920</v>
      </c>
      <c r="D216" s="601" t="s">
        <v>591</v>
      </c>
      <c r="E216" s="123" t="s">
        <v>359</v>
      </c>
      <c r="F216" s="123" t="s">
        <v>221</v>
      </c>
      <c r="G216" s="602" t="s">
        <v>441</v>
      </c>
      <c r="H216" s="264"/>
      <c r="I216" s="229">
        <f>'Бюд.р.'!H471</f>
        <v>1103.7</v>
      </c>
      <c r="J216" s="219">
        <v>90</v>
      </c>
      <c r="K216" s="130">
        <v>479</v>
      </c>
      <c r="L216" s="130">
        <v>485</v>
      </c>
      <c r="M216" s="243">
        <v>310</v>
      </c>
    </row>
    <row r="217" spans="1:13" ht="12.75" hidden="1">
      <c r="A217" s="151" t="s">
        <v>183</v>
      </c>
      <c r="B217" s="258"/>
      <c r="C217" s="717" t="s">
        <v>240</v>
      </c>
      <c r="D217" s="615"/>
      <c r="E217" s="30" t="s">
        <v>250</v>
      </c>
      <c r="F217" s="30" t="s">
        <v>181</v>
      </c>
      <c r="G217" s="603" t="s">
        <v>239</v>
      </c>
      <c r="H217" s="268" t="s">
        <v>241</v>
      </c>
      <c r="I217" s="201"/>
      <c r="J217" s="220"/>
      <c r="K217" s="176"/>
      <c r="L217" s="176"/>
      <c r="M217" s="210"/>
    </row>
    <row r="218" spans="1:13" ht="12.75" hidden="1">
      <c r="A218" s="155" t="s">
        <v>651</v>
      </c>
      <c r="B218" s="56"/>
      <c r="C218" s="737" t="s">
        <v>224</v>
      </c>
      <c r="D218" s="606"/>
      <c r="E218" s="3" t="s">
        <v>250</v>
      </c>
      <c r="F218" s="3" t="s">
        <v>181</v>
      </c>
      <c r="G218" s="631" t="s">
        <v>239</v>
      </c>
      <c r="H218" s="687" t="s">
        <v>264</v>
      </c>
      <c r="I218" s="201"/>
      <c r="J218" s="220"/>
      <c r="K218" s="176"/>
      <c r="L218" s="176"/>
      <c r="M218" s="210"/>
    </row>
    <row r="219" spans="1:13" ht="35.25" customHeight="1">
      <c r="A219" s="154" t="s">
        <v>233</v>
      </c>
      <c r="B219" s="258" t="s">
        <v>893</v>
      </c>
      <c r="C219" s="717" t="s">
        <v>361</v>
      </c>
      <c r="D219" s="599" t="s">
        <v>591</v>
      </c>
      <c r="E219" s="10" t="s">
        <v>359</v>
      </c>
      <c r="F219" s="10" t="s">
        <v>222</v>
      </c>
      <c r="G219" s="600"/>
      <c r="H219" s="263"/>
      <c r="I219" s="230">
        <f>I220</f>
        <v>1610.9</v>
      </c>
      <c r="J219" s="218">
        <f>J220</f>
        <v>495</v>
      </c>
      <c r="K219" s="127">
        <f>K220</f>
        <v>188</v>
      </c>
      <c r="L219" s="127">
        <f>L220</f>
        <v>0</v>
      </c>
      <c r="M219" s="242">
        <f>M220</f>
        <v>860</v>
      </c>
    </row>
    <row r="220" spans="1:13" ht="13.5" thickBot="1">
      <c r="A220" s="50" t="s">
        <v>679</v>
      </c>
      <c r="B220" s="2" t="s">
        <v>894</v>
      </c>
      <c r="C220" s="646" t="s">
        <v>920</v>
      </c>
      <c r="D220" s="601" t="s">
        <v>591</v>
      </c>
      <c r="E220" s="123" t="s">
        <v>359</v>
      </c>
      <c r="F220" s="123" t="s">
        <v>222</v>
      </c>
      <c r="G220" s="602" t="s">
        <v>441</v>
      </c>
      <c r="H220" s="264"/>
      <c r="I220" s="364">
        <f>'Бюд.р.'!H479</f>
        <v>1610.9</v>
      </c>
      <c r="J220" s="219">
        <v>495</v>
      </c>
      <c r="K220" s="130">
        <v>188</v>
      </c>
      <c r="L220" s="130">
        <v>0</v>
      </c>
      <c r="M220" s="243">
        <v>860</v>
      </c>
    </row>
    <row r="221" spans="1:13" ht="15">
      <c r="A221" s="151" t="s">
        <v>680</v>
      </c>
      <c r="B221" s="907" t="s">
        <v>5</v>
      </c>
      <c r="C221" s="912" t="s">
        <v>14</v>
      </c>
      <c r="D221" s="913">
        <v>968</v>
      </c>
      <c r="E221" s="913">
        <v>709</v>
      </c>
      <c r="F221" s="913"/>
      <c r="G221" s="913"/>
      <c r="H221" s="1069" t="s">
        <v>241</v>
      </c>
      <c r="I221" s="1071">
        <f>I222+I224</f>
        <v>118.01</v>
      </c>
      <c r="J221" s="220"/>
      <c r="K221" s="176"/>
      <c r="L221" s="176"/>
      <c r="M221" s="210"/>
    </row>
    <row r="222" spans="1:13" ht="33.75">
      <c r="A222" s="155" t="s">
        <v>651</v>
      </c>
      <c r="B222" s="258" t="s">
        <v>6</v>
      </c>
      <c r="C222" s="886" t="s">
        <v>946</v>
      </c>
      <c r="D222" s="648">
        <v>968</v>
      </c>
      <c r="E222" s="648">
        <v>709</v>
      </c>
      <c r="F222" s="648" t="str">
        <f>F223</f>
        <v>795 01 00</v>
      </c>
      <c r="G222" s="648"/>
      <c r="H222" s="1070" t="s">
        <v>264</v>
      </c>
      <c r="I222" s="643">
        <f>I223</f>
        <v>35</v>
      </c>
      <c r="J222" s="220"/>
      <c r="K222" s="176"/>
      <c r="L222" s="176"/>
      <c r="M222" s="210"/>
    </row>
    <row r="223" spans="1:13" ht="12.75">
      <c r="A223" s="154" t="s">
        <v>613</v>
      </c>
      <c r="B223" s="858" t="s">
        <v>7</v>
      </c>
      <c r="C223" s="646" t="s">
        <v>920</v>
      </c>
      <c r="D223" s="794">
        <v>968</v>
      </c>
      <c r="E223" s="794">
        <v>709</v>
      </c>
      <c r="F223" s="794" t="s">
        <v>409</v>
      </c>
      <c r="G223" s="794">
        <v>240</v>
      </c>
      <c r="H223" s="874"/>
      <c r="I223" s="645">
        <f>'Бюд.р.'!H496</f>
        <v>35</v>
      </c>
      <c r="J223" s="220"/>
      <c r="K223" s="176"/>
      <c r="L223" s="176"/>
      <c r="M223" s="210"/>
    </row>
    <row r="224" spans="1:13" ht="27.75" customHeight="1">
      <c r="A224" s="1066"/>
      <c r="B224" s="258" t="s">
        <v>904</v>
      </c>
      <c r="C224" s="313" t="s">
        <v>948</v>
      </c>
      <c r="D224" s="599" t="s">
        <v>591</v>
      </c>
      <c r="E224" s="10" t="s">
        <v>18</v>
      </c>
      <c r="F224" s="10" t="s">
        <v>143</v>
      </c>
      <c r="G224" s="600"/>
      <c r="H224" s="1067"/>
      <c r="I224" s="643">
        <f>I225</f>
        <v>83.01</v>
      </c>
      <c r="J224" s="220"/>
      <c r="K224" s="176"/>
      <c r="L224" s="176"/>
      <c r="M224" s="210"/>
    </row>
    <row r="225" spans="1:13" ht="13.5" thickBot="1">
      <c r="A225" s="1066"/>
      <c r="B225" s="858" t="s">
        <v>905</v>
      </c>
      <c r="C225" s="646" t="s">
        <v>920</v>
      </c>
      <c r="D225" s="637" t="s">
        <v>591</v>
      </c>
      <c r="E225" s="872" t="s">
        <v>18</v>
      </c>
      <c r="F225" s="872" t="s">
        <v>143</v>
      </c>
      <c r="G225" s="873" t="s">
        <v>441</v>
      </c>
      <c r="H225" s="1067"/>
      <c r="I225" s="981">
        <f>'Бюд.р.'!H505</f>
        <v>83.01</v>
      </c>
      <c r="J225" s="220"/>
      <c r="K225" s="176"/>
      <c r="L225" s="176"/>
      <c r="M225" s="210"/>
    </row>
    <row r="226" spans="1:13" ht="20.25" customHeight="1" thickBot="1">
      <c r="A226" s="159"/>
      <c r="B226" s="941" t="s">
        <v>466</v>
      </c>
      <c r="C226" s="935" t="s">
        <v>842</v>
      </c>
      <c r="D226" s="936" t="s">
        <v>591</v>
      </c>
      <c r="E226" s="937" t="s">
        <v>362</v>
      </c>
      <c r="F226" s="943"/>
      <c r="G226" s="957"/>
      <c r="H226" s="958"/>
      <c r="I226" s="1068" t="e">
        <f>I227</f>
        <v>#REF!</v>
      </c>
      <c r="J226" s="224" t="e">
        <f>J227+#REF!</f>
        <v>#REF!</v>
      </c>
      <c r="K226" s="209" t="e">
        <f>K227+#REF!</f>
        <v>#REF!</v>
      </c>
      <c r="L226" s="209" t="e">
        <f>L227+#REF!</f>
        <v>#REF!</v>
      </c>
      <c r="M226" s="247" t="e">
        <f>M227+#REF!</f>
        <v>#REF!</v>
      </c>
    </row>
    <row r="227" spans="1:13" ht="15">
      <c r="A227" s="159"/>
      <c r="B227" s="953" t="s">
        <v>503</v>
      </c>
      <c r="C227" s="897" t="s">
        <v>641</v>
      </c>
      <c r="D227" s="902" t="s">
        <v>591</v>
      </c>
      <c r="E227" s="903" t="s">
        <v>363</v>
      </c>
      <c r="F227" s="954"/>
      <c r="G227" s="955"/>
      <c r="H227" s="956"/>
      <c r="I227" s="906" t="e">
        <f>I228+I230</f>
        <v>#REF!</v>
      </c>
      <c r="J227" s="217">
        <f aca="true" t="shared" si="2" ref="I227:M228">J228</f>
        <v>849</v>
      </c>
      <c r="K227" s="93">
        <f t="shared" si="2"/>
        <v>707</v>
      </c>
      <c r="L227" s="93">
        <f t="shared" si="2"/>
        <v>197</v>
      </c>
      <c r="M227" s="241">
        <f t="shared" si="2"/>
        <v>253</v>
      </c>
    </row>
    <row r="228" spans="1:13" ht="34.5" customHeight="1">
      <c r="A228" s="159"/>
      <c r="B228" s="258" t="s">
        <v>506</v>
      </c>
      <c r="C228" s="890" t="s">
        <v>975</v>
      </c>
      <c r="D228" s="599" t="s">
        <v>591</v>
      </c>
      <c r="E228" s="53" t="s">
        <v>363</v>
      </c>
      <c r="F228" s="53" t="s">
        <v>972</v>
      </c>
      <c r="G228" s="627"/>
      <c r="H228" s="685"/>
      <c r="I228" s="230">
        <f t="shared" si="2"/>
        <v>9164.942</v>
      </c>
      <c r="J228" s="218">
        <f t="shared" si="2"/>
        <v>849</v>
      </c>
      <c r="K228" s="127">
        <f t="shared" si="2"/>
        <v>707</v>
      </c>
      <c r="L228" s="127">
        <f t="shared" si="2"/>
        <v>197</v>
      </c>
      <c r="M228" s="242">
        <f t="shared" si="2"/>
        <v>253</v>
      </c>
    </row>
    <row r="229" spans="1:13" ht="13.5" customHeight="1">
      <c r="A229" s="159"/>
      <c r="B229" s="2" t="s">
        <v>507</v>
      </c>
      <c r="C229" s="646" t="s">
        <v>920</v>
      </c>
      <c r="D229" s="601" t="s">
        <v>591</v>
      </c>
      <c r="E229" s="123" t="s">
        <v>363</v>
      </c>
      <c r="F229" s="123" t="s">
        <v>972</v>
      </c>
      <c r="G229" s="602" t="s">
        <v>441</v>
      </c>
      <c r="H229" s="685"/>
      <c r="I229" s="229">
        <f>'Бюд.р.'!H513</f>
        <v>9164.942</v>
      </c>
      <c r="J229" s="219">
        <v>849</v>
      </c>
      <c r="K229" s="130">
        <v>707</v>
      </c>
      <c r="L229" s="130">
        <v>197</v>
      </c>
      <c r="M229" s="243">
        <v>253</v>
      </c>
    </row>
    <row r="230" spans="1:13" ht="24" customHeight="1">
      <c r="A230" s="159"/>
      <c r="B230" s="258" t="s">
        <v>839</v>
      </c>
      <c r="C230" s="732" t="s">
        <v>830</v>
      </c>
      <c r="D230" s="100">
        <v>968</v>
      </c>
      <c r="E230" s="100">
        <v>801</v>
      </c>
      <c r="F230" s="100" t="str">
        <f>F231</f>
        <v>440 01 02</v>
      </c>
      <c r="G230" s="100"/>
      <c r="H230" s="670"/>
      <c r="I230" s="643" t="e">
        <f>I231</f>
        <v>#REF!</v>
      </c>
      <c r="J230" s="219"/>
      <c r="K230" s="130"/>
      <c r="L230" s="130"/>
      <c r="M230" s="243"/>
    </row>
    <row r="231" spans="1:13" ht="13.5" customHeight="1" thickBot="1">
      <c r="A231" s="159"/>
      <c r="B231" s="858" t="s">
        <v>840</v>
      </c>
      <c r="C231" s="646" t="s">
        <v>920</v>
      </c>
      <c r="D231" s="794">
        <v>968</v>
      </c>
      <c r="E231" s="794">
        <v>801</v>
      </c>
      <c r="F231" s="794" t="s">
        <v>974</v>
      </c>
      <c r="G231" s="794">
        <v>240</v>
      </c>
      <c r="H231" s="878"/>
      <c r="I231" s="739" t="e">
        <f>'Бюд.р.'!#REF!</f>
        <v>#REF!</v>
      </c>
      <c r="J231" s="219"/>
      <c r="K231" s="130"/>
      <c r="L231" s="130"/>
      <c r="M231" s="243"/>
    </row>
    <row r="232" spans="1:13" ht="12.75" hidden="1">
      <c r="A232" s="48" t="s">
        <v>739</v>
      </c>
      <c r="B232" s="42"/>
      <c r="C232" s="734" t="s">
        <v>240</v>
      </c>
      <c r="D232" s="615"/>
      <c r="E232" s="34" t="s">
        <v>467</v>
      </c>
      <c r="F232" s="31" t="s">
        <v>468</v>
      </c>
      <c r="G232" s="634">
        <v>455</v>
      </c>
      <c r="H232" s="688" t="s">
        <v>241</v>
      </c>
      <c r="I232" s="201"/>
      <c r="J232" s="220"/>
      <c r="K232" s="176"/>
      <c r="L232" s="176"/>
      <c r="M232" s="210"/>
    </row>
    <row r="233" spans="1:13" ht="12.75" hidden="1">
      <c r="A233" s="49" t="s">
        <v>651</v>
      </c>
      <c r="B233" s="56"/>
      <c r="C233" s="737" t="s">
        <v>224</v>
      </c>
      <c r="D233" s="606"/>
      <c r="E233" s="3" t="s">
        <v>467</v>
      </c>
      <c r="F233" s="32" t="s">
        <v>468</v>
      </c>
      <c r="G233" s="635">
        <v>455</v>
      </c>
      <c r="H233" s="687" t="s">
        <v>264</v>
      </c>
      <c r="I233" s="201"/>
      <c r="J233" s="220"/>
      <c r="K233" s="176"/>
      <c r="L233" s="176"/>
      <c r="M233" s="210"/>
    </row>
    <row r="234" spans="1:13" ht="17.25" customHeight="1" hidden="1" thickBot="1">
      <c r="A234" s="45" t="s">
        <v>466</v>
      </c>
      <c r="B234" s="260"/>
      <c r="C234" s="738" t="s">
        <v>237</v>
      </c>
      <c r="D234" s="620"/>
      <c r="E234" s="166" t="s">
        <v>292</v>
      </c>
      <c r="F234" s="167"/>
      <c r="G234" s="632"/>
      <c r="H234" s="689"/>
      <c r="I234" s="201"/>
      <c r="J234" s="220"/>
      <c r="K234" s="176"/>
      <c r="L234" s="176"/>
      <c r="M234" s="210"/>
    </row>
    <row r="235" spans="1:13" ht="27" customHeight="1" hidden="1" thickBot="1">
      <c r="A235" s="46" t="s">
        <v>678</v>
      </c>
      <c r="B235" s="260"/>
      <c r="C235" s="721" t="s">
        <v>293</v>
      </c>
      <c r="D235" s="608"/>
      <c r="E235" s="55" t="s">
        <v>766</v>
      </c>
      <c r="F235" s="129"/>
      <c r="G235" s="636"/>
      <c r="H235" s="685"/>
      <c r="I235" s="201"/>
      <c r="J235" s="220"/>
      <c r="K235" s="176"/>
      <c r="L235" s="176"/>
      <c r="M235" s="210"/>
    </row>
    <row r="236" spans="1:13" ht="63" customHeight="1" hidden="1" thickBot="1">
      <c r="A236" s="47" t="s">
        <v>245</v>
      </c>
      <c r="B236" s="259"/>
      <c r="C236" s="724" t="s">
        <v>0</v>
      </c>
      <c r="D236" s="599"/>
      <c r="E236" s="53" t="s">
        <v>766</v>
      </c>
      <c r="F236" s="54" t="s">
        <v>417</v>
      </c>
      <c r="G236" s="633"/>
      <c r="H236" s="683"/>
      <c r="I236" s="201"/>
      <c r="J236" s="220"/>
      <c r="K236" s="176"/>
      <c r="L236" s="176"/>
      <c r="M236" s="210"/>
    </row>
    <row r="237" spans="1:13" ht="18.75" customHeight="1" thickBot="1">
      <c r="A237" s="160"/>
      <c r="B237" s="941" t="s">
        <v>134</v>
      </c>
      <c r="C237" s="942" t="s">
        <v>237</v>
      </c>
      <c r="D237" s="936" t="s">
        <v>591</v>
      </c>
      <c r="E237" s="943" t="s">
        <v>292</v>
      </c>
      <c r="F237" s="944"/>
      <c r="G237" s="945"/>
      <c r="H237" s="946"/>
      <c r="I237" s="940">
        <f>I241+I244</f>
        <v>16099.647</v>
      </c>
      <c r="J237" s="224" t="e">
        <f>J244</f>
        <v>#REF!</v>
      </c>
      <c r="K237" s="209" t="e">
        <f>K244</f>
        <v>#REF!</v>
      </c>
      <c r="L237" s="209" t="e">
        <f>L244</f>
        <v>#REF!</v>
      </c>
      <c r="M237" s="247" t="e">
        <f>M244</f>
        <v>#REF!</v>
      </c>
    </row>
    <row r="238" spans="1:13" ht="15" customHeight="1" hidden="1">
      <c r="A238" s="160"/>
      <c r="B238" s="875" t="s">
        <v>503</v>
      </c>
      <c r="C238" s="893" t="s">
        <v>643</v>
      </c>
      <c r="D238" s="655">
        <v>968</v>
      </c>
      <c r="E238" s="656">
        <v>1001</v>
      </c>
      <c r="F238" s="656"/>
      <c r="G238" s="879"/>
      <c r="H238" s="880"/>
      <c r="I238" s="795">
        <f>I239</f>
        <v>8777.5</v>
      </c>
      <c r="J238" s="224"/>
      <c r="K238" s="209"/>
      <c r="L238" s="209"/>
      <c r="M238" s="247"/>
    </row>
    <row r="239" spans="1:13" ht="15" customHeight="1" hidden="1">
      <c r="A239" s="160"/>
      <c r="B239" s="42" t="s">
        <v>506</v>
      </c>
      <c r="C239" s="886" t="s">
        <v>645</v>
      </c>
      <c r="D239" s="617">
        <v>968</v>
      </c>
      <c r="E239" s="100">
        <v>1001</v>
      </c>
      <c r="F239" s="100" t="s">
        <v>644</v>
      </c>
      <c r="G239" s="633"/>
      <c r="H239" s="670"/>
      <c r="I239" s="230">
        <f>I240</f>
        <v>8777.5</v>
      </c>
      <c r="J239" s="224"/>
      <c r="K239" s="209"/>
      <c r="L239" s="209"/>
      <c r="M239" s="247"/>
    </row>
    <row r="240" spans="1:13" ht="24.75" customHeight="1" hidden="1">
      <c r="A240" s="160"/>
      <c r="B240" s="2" t="s">
        <v>507</v>
      </c>
      <c r="C240" s="894" t="s">
        <v>505</v>
      </c>
      <c r="D240" s="618">
        <v>968</v>
      </c>
      <c r="E240" s="564">
        <v>1001</v>
      </c>
      <c r="F240" s="564" t="s">
        <v>644</v>
      </c>
      <c r="G240" s="619">
        <v>714</v>
      </c>
      <c r="H240" s="670"/>
      <c r="I240" s="229">
        <f>'Бюд.р.'!H564</f>
        <v>8777.5</v>
      </c>
      <c r="J240" s="224"/>
      <c r="K240" s="209"/>
      <c r="L240" s="209"/>
      <c r="M240" s="247"/>
    </row>
    <row r="241" spans="1:13" ht="19.5" customHeight="1">
      <c r="A241" s="160"/>
      <c r="B241" s="867" t="s">
        <v>504</v>
      </c>
      <c r="C241" s="885" t="s">
        <v>899</v>
      </c>
      <c r="D241" s="860" t="s">
        <v>591</v>
      </c>
      <c r="E241" s="869" t="s">
        <v>903</v>
      </c>
      <c r="F241" s="864"/>
      <c r="G241" s="865"/>
      <c r="H241" s="866"/>
      <c r="I241" s="861">
        <f>I242</f>
        <v>959.531</v>
      </c>
      <c r="J241" s="224"/>
      <c r="K241" s="209"/>
      <c r="L241" s="209"/>
      <c r="M241" s="247"/>
    </row>
    <row r="242" spans="1:13" ht="24.75" customHeight="1">
      <c r="A242" s="160"/>
      <c r="B242" s="42" t="s">
        <v>508</v>
      </c>
      <c r="C242" s="732" t="s">
        <v>900</v>
      </c>
      <c r="D242" s="599" t="s">
        <v>591</v>
      </c>
      <c r="E242" s="53" t="s">
        <v>903</v>
      </c>
      <c r="F242" s="100" t="s">
        <v>901</v>
      </c>
      <c r="G242" s="286"/>
      <c r="H242" s="660"/>
      <c r="I242" s="643">
        <f>I243</f>
        <v>959.531</v>
      </c>
      <c r="J242" s="224"/>
      <c r="K242" s="209"/>
      <c r="L242" s="209"/>
      <c r="M242" s="247"/>
    </row>
    <row r="243" spans="1:13" ht="21" customHeight="1">
      <c r="A243" s="160"/>
      <c r="B243" s="2" t="s">
        <v>509</v>
      </c>
      <c r="C243" s="646" t="s">
        <v>998</v>
      </c>
      <c r="D243" s="601" t="s">
        <v>591</v>
      </c>
      <c r="E243" s="128" t="s">
        <v>903</v>
      </c>
      <c r="F243" s="980" t="s">
        <v>901</v>
      </c>
      <c r="G243" s="644">
        <v>314</v>
      </c>
      <c r="H243" s="669"/>
      <c r="I243" s="645">
        <f>'Бюд.р.'!H535</f>
        <v>959.531</v>
      </c>
      <c r="J243" s="224"/>
      <c r="K243" s="209"/>
      <c r="L243" s="209"/>
      <c r="M243" s="247"/>
    </row>
    <row r="244" spans="1:13" ht="15" customHeight="1">
      <c r="A244" s="160"/>
      <c r="B244" s="907" t="s">
        <v>504</v>
      </c>
      <c r="C244" s="920" t="s">
        <v>648</v>
      </c>
      <c r="D244" s="908" t="s">
        <v>591</v>
      </c>
      <c r="E244" s="914" t="s">
        <v>766</v>
      </c>
      <c r="F244" s="916"/>
      <c r="G244" s="917"/>
      <c r="H244" s="921"/>
      <c r="I244" s="910">
        <f>I245+I247+I249</f>
        <v>15140.116</v>
      </c>
      <c r="J244" s="217" t="e">
        <f>J247</f>
        <v>#REF!</v>
      </c>
      <c r="K244" s="93" t="e">
        <f>K248+K249</f>
        <v>#REF!</v>
      </c>
      <c r="L244" s="93" t="e">
        <f>L248+L249</f>
        <v>#REF!</v>
      </c>
      <c r="M244" s="241" t="e">
        <f>M248+M249</f>
        <v>#REF!</v>
      </c>
    </row>
    <row r="245" spans="1:13" ht="22.5" customHeight="1">
      <c r="A245" s="160"/>
      <c r="B245" s="42" t="s">
        <v>508</v>
      </c>
      <c r="C245" s="732" t="s">
        <v>55</v>
      </c>
      <c r="D245" s="599" t="s">
        <v>591</v>
      </c>
      <c r="E245" s="53" t="s">
        <v>766</v>
      </c>
      <c r="F245" s="100" t="s">
        <v>53</v>
      </c>
      <c r="G245" s="286"/>
      <c r="H245" s="660"/>
      <c r="I245" s="643">
        <f>I246</f>
        <v>3469.0159999999996</v>
      </c>
      <c r="J245" s="217"/>
      <c r="K245" s="217"/>
      <c r="L245" s="217"/>
      <c r="M245" s="979"/>
    </row>
    <row r="246" spans="1:13" ht="23.25" customHeight="1">
      <c r="A246" s="160"/>
      <c r="B246" s="2" t="s">
        <v>509</v>
      </c>
      <c r="C246" s="728" t="s">
        <v>732</v>
      </c>
      <c r="D246" s="601" t="s">
        <v>591</v>
      </c>
      <c r="E246" s="128" t="s">
        <v>766</v>
      </c>
      <c r="F246" s="980" t="s">
        <v>53</v>
      </c>
      <c r="G246" s="644">
        <v>598</v>
      </c>
      <c r="H246" s="669"/>
      <c r="I246" s="645">
        <f>'Бюд.р.'!H541</f>
        <v>3469.0159999999996</v>
      </c>
      <c r="J246" s="217"/>
      <c r="K246" s="217"/>
      <c r="L246" s="217"/>
      <c r="M246" s="979"/>
    </row>
    <row r="247" spans="1:13" ht="18" customHeight="1">
      <c r="A247" s="160"/>
      <c r="B247" s="42" t="s">
        <v>508</v>
      </c>
      <c r="C247" s="883" t="s">
        <v>41</v>
      </c>
      <c r="D247" s="599" t="s">
        <v>591</v>
      </c>
      <c r="E247" s="53" t="s">
        <v>766</v>
      </c>
      <c r="F247" s="54" t="s">
        <v>42</v>
      </c>
      <c r="G247" s="633"/>
      <c r="H247" s="670"/>
      <c r="I247" s="230">
        <f>I248</f>
        <v>8777.5</v>
      </c>
      <c r="J247" s="218" t="e">
        <f>J248+J249</f>
        <v>#REF!</v>
      </c>
      <c r="K247" s="218" t="e">
        <f>K248+K249</f>
        <v>#REF!</v>
      </c>
      <c r="L247" s="218" t="e">
        <f>L248+L249</f>
        <v>#REF!</v>
      </c>
      <c r="M247" s="218" t="e">
        <f>M248+M249</f>
        <v>#REF!</v>
      </c>
    </row>
    <row r="248" spans="1:13" ht="24.75" customHeight="1">
      <c r="A248" s="160"/>
      <c r="B248" s="2" t="s">
        <v>509</v>
      </c>
      <c r="C248" s="884" t="s">
        <v>732</v>
      </c>
      <c r="D248" s="601" t="s">
        <v>591</v>
      </c>
      <c r="E248" s="128" t="s">
        <v>766</v>
      </c>
      <c r="F248" s="32" t="s">
        <v>42</v>
      </c>
      <c r="G248" s="592">
        <v>598</v>
      </c>
      <c r="H248" s="670"/>
      <c r="I248" s="229">
        <f>'Бюд.р.'!H562</f>
        <v>8777.5</v>
      </c>
      <c r="J248" s="218" t="e">
        <f>#REF!</f>
        <v>#REF!</v>
      </c>
      <c r="K248" s="127" t="e">
        <f>#REF!</f>
        <v>#REF!</v>
      </c>
      <c r="L248" s="127" t="e">
        <f>#REF!</f>
        <v>#REF!</v>
      </c>
      <c r="M248" s="242" t="e">
        <f>#REF!</f>
        <v>#REF!</v>
      </c>
    </row>
    <row r="249" spans="1:13" ht="25.5" customHeight="1">
      <c r="A249" s="47" t="s">
        <v>233</v>
      </c>
      <c r="B249" s="42" t="s">
        <v>895</v>
      </c>
      <c r="C249" s="883" t="s">
        <v>555</v>
      </c>
      <c r="D249" s="599" t="s">
        <v>591</v>
      </c>
      <c r="E249" s="53" t="s">
        <v>766</v>
      </c>
      <c r="F249" s="54" t="s">
        <v>43</v>
      </c>
      <c r="G249" s="633"/>
      <c r="H249" s="675"/>
      <c r="I249" s="643">
        <f>I250</f>
        <v>2893.6</v>
      </c>
      <c r="J249" s="218">
        <f>J250</f>
        <v>272.6</v>
      </c>
      <c r="K249" s="218">
        <f>K250</f>
        <v>287.8</v>
      </c>
      <c r="L249" s="218">
        <f>L250</f>
        <v>287.7</v>
      </c>
      <c r="M249" s="218">
        <f>M250</f>
        <v>287.7</v>
      </c>
    </row>
    <row r="250" spans="1:13" ht="24.75" customHeight="1" thickBot="1">
      <c r="A250" s="279"/>
      <c r="B250" s="858" t="s">
        <v>896</v>
      </c>
      <c r="C250" s="888" t="s">
        <v>732</v>
      </c>
      <c r="D250" s="637" t="s">
        <v>591</v>
      </c>
      <c r="E250" s="362" t="s">
        <v>766</v>
      </c>
      <c r="F250" s="363" t="s">
        <v>43</v>
      </c>
      <c r="G250" s="638">
        <v>598</v>
      </c>
      <c r="H250" s="674"/>
      <c r="I250" s="364">
        <f>'Бюд.р.'!H568</f>
        <v>2893.6</v>
      </c>
      <c r="J250" s="248">
        <v>272.6</v>
      </c>
      <c r="K250" s="249">
        <v>287.8</v>
      </c>
      <c r="L250" s="249">
        <v>287.7</v>
      </c>
      <c r="M250" s="250">
        <v>287.7</v>
      </c>
    </row>
    <row r="251" spans="1:13" ht="28.5" customHeight="1" hidden="1" thickBot="1">
      <c r="A251" s="279"/>
      <c r="B251" s="365"/>
      <c r="C251" s="713" t="s">
        <v>807</v>
      </c>
      <c r="D251" s="702">
        <v>917</v>
      </c>
      <c r="E251" s="586"/>
      <c r="F251" s="369"/>
      <c r="G251" s="591"/>
      <c r="H251" s="690"/>
      <c r="I251" s="703">
        <f>I252</f>
        <v>0</v>
      </c>
      <c r="J251" s="248"/>
      <c r="K251" s="248"/>
      <c r="L251" s="248"/>
      <c r="M251" s="360"/>
    </row>
    <row r="252" spans="1:13" ht="28.5" customHeight="1" hidden="1" thickBot="1">
      <c r="A252" s="279"/>
      <c r="B252" s="657" t="s">
        <v>607</v>
      </c>
      <c r="C252" s="744" t="s">
        <v>102</v>
      </c>
      <c r="D252" s="745">
        <v>917</v>
      </c>
      <c r="E252" s="745">
        <v>100</v>
      </c>
      <c r="F252" s="750"/>
      <c r="G252" s="751"/>
      <c r="H252" s="752"/>
      <c r="I252" s="754">
        <f>I253</f>
        <v>0</v>
      </c>
      <c r="J252" s="248"/>
      <c r="K252" s="248"/>
      <c r="L252" s="248"/>
      <c r="M252" s="360"/>
    </row>
    <row r="253" spans="1:13" ht="30" customHeight="1" hidden="1" thickBot="1">
      <c r="A253" s="279"/>
      <c r="B253" s="654" t="s">
        <v>68</v>
      </c>
      <c r="C253" s="746" t="s">
        <v>21</v>
      </c>
      <c r="D253" s="747">
        <v>917</v>
      </c>
      <c r="E253" s="747">
        <v>107</v>
      </c>
      <c r="F253" s="748"/>
      <c r="G253" s="749"/>
      <c r="H253" s="753"/>
      <c r="I253" s="755">
        <f>I254</f>
        <v>0</v>
      </c>
      <c r="J253" s="248"/>
      <c r="K253" s="248"/>
      <c r="L253" s="248"/>
      <c r="M253" s="360"/>
    </row>
    <row r="254" spans="1:13" ht="30" customHeight="1" hidden="1" thickBot="1">
      <c r="A254" s="279"/>
      <c r="B254" s="42" t="s">
        <v>69</v>
      </c>
      <c r="C254" s="310" t="s">
        <v>141</v>
      </c>
      <c r="D254" s="107">
        <v>917</v>
      </c>
      <c r="E254" s="107">
        <v>107</v>
      </c>
      <c r="F254" s="107" t="s">
        <v>142</v>
      </c>
      <c r="G254" s="107"/>
      <c r="H254" s="374"/>
      <c r="I254" s="651">
        <f>I255</f>
        <v>0</v>
      </c>
      <c r="J254" s="248"/>
      <c r="K254" s="248"/>
      <c r="L254" s="248"/>
      <c r="M254" s="360"/>
    </row>
    <row r="255" spans="1:13" ht="14.25" customHeight="1" hidden="1" thickBot="1">
      <c r="A255" s="279"/>
      <c r="B255" s="2" t="s">
        <v>70</v>
      </c>
      <c r="C255" s="313" t="s">
        <v>415</v>
      </c>
      <c r="D255" s="564">
        <v>917</v>
      </c>
      <c r="E255" s="564">
        <v>107</v>
      </c>
      <c r="F255" s="564" t="s">
        <v>142</v>
      </c>
      <c r="G255" s="564">
        <v>500</v>
      </c>
      <c r="H255" s="374"/>
      <c r="I255" s="676">
        <f>'Бюд.р.'!H575</f>
        <v>0</v>
      </c>
      <c r="J255" s="248"/>
      <c r="K255" s="248"/>
      <c r="L255" s="248"/>
      <c r="M255" s="360"/>
    </row>
    <row r="256" spans="1:13" ht="14.25" customHeight="1" thickBot="1">
      <c r="A256" s="279"/>
      <c r="B256" s="947" t="s">
        <v>831</v>
      </c>
      <c r="C256" s="948" t="s">
        <v>821</v>
      </c>
      <c r="D256" s="949">
        <v>968</v>
      </c>
      <c r="E256" s="949">
        <v>1100</v>
      </c>
      <c r="F256" s="949"/>
      <c r="G256" s="949"/>
      <c r="H256" s="950"/>
      <c r="I256" s="933">
        <f>I257</f>
        <v>3380.6850000000004</v>
      </c>
      <c r="J256" s="248"/>
      <c r="K256" s="248"/>
      <c r="L256" s="248"/>
      <c r="M256" s="360"/>
    </row>
    <row r="257" spans="1:13" ht="14.25" customHeight="1" thickBot="1">
      <c r="A257" s="279"/>
      <c r="B257" s="922" t="s">
        <v>30</v>
      </c>
      <c r="C257" s="923" t="s">
        <v>822</v>
      </c>
      <c r="D257" s="924">
        <v>968</v>
      </c>
      <c r="E257" s="924">
        <v>1102</v>
      </c>
      <c r="F257" s="924"/>
      <c r="G257" s="924"/>
      <c r="H257" s="925"/>
      <c r="I257" s="926">
        <f>I258</f>
        <v>3380.6850000000004</v>
      </c>
      <c r="J257" s="248"/>
      <c r="K257" s="248"/>
      <c r="L257" s="248"/>
      <c r="M257" s="360"/>
    </row>
    <row r="258" spans="1:13" ht="33.75" customHeight="1" thickBot="1">
      <c r="A258" s="279"/>
      <c r="B258" s="42" t="s">
        <v>508</v>
      </c>
      <c r="C258" s="732" t="s">
        <v>647</v>
      </c>
      <c r="D258" s="100">
        <v>968</v>
      </c>
      <c r="E258" s="100">
        <v>1102</v>
      </c>
      <c r="F258" s="100" t="str">
        <f>F259</f>
        <v>487 01 00</v>
      </c>
      <c r="G258" s="100"/>
      <c r="H258" s="896"/>
      <c r="I258" s="643">
        <f>I259</f>
        <v>3380.6850000000004</v>
      </c>
      <c r="J258" s="248"/>
      <c r="K258" s="248"/>
      <c r="L258" s="248"/>
      <c r="M258" s="360"/>
    </row>
    <row r="259" spans="1:13" ht="14.25" customHeight="1" thickBot="1">
      <c r="A259" s="279"/>
      <c r="B259" s="854" t="s">
        <v>35</v>
      </c>
      <c r="C259" s="646" t="s">
        <v>920</v>
      </c>
      <c r="D259" s="882">
        <v>968</v>
      </c>
      <c r="E259" s="882">
        <v>1102</v>
      </c>
      <c r="F259" s="882" t="s">
        <v>943</v>
      </c>
      <c r="G259" s="882">
        <v>240</v>
      </c>
      <c r="H259" s="855"/>
      <c r="I259" s="881">
        <f>'Бюд.р.'!H587</f>
        <v>3380.6850000000004</v>
      </c>
      <c r="J259" s="248"/>
      <c r="K259" s="248"/>
      <c r="L259" s="248"/>
      <c r="M259" s="360"/>
    </row>
    <row r="260" spans="1:13" ht="14.25" customHeight="1" thickBot="1">
      <c r="A260" s="279"/>
      <c r="B260" s="947" t="s">
        <v>832</v>
      </c>
      <c r="C260" s="930" t="s">
        <v>823</v>
      </c>
      <c r="D260" s="949">
        <v>968</v>
      </c>
      <c r="E260" s="949">
        <v>1200</v>
      </c>
      <c r="F260" s="949"/>
      <c r="G260" s="949"/>
      <c r="H260" s="950"/>
      <c r="I260" s="933">
        <f>I261</f>
        <v>1464.75</v>
      </c>
      <c r="J260" s="248"/>
      <c r="K260" s="248"/>
      <c r="L260" s="248"/>
      <c r="M260" s="360"/>
    </row>
    <row r="261" spans="1:13" ht="14.25" customHeight="1" thickBot="1">
      <c r="A261" s="279"/>
      <c r="B261" s="922" t="s">
        <v>68</v>
      </c>
      <c r="C261" s="927" t="s">
        <v>642</v>
      </c>
      <c r="D261" s="928">
        <v>968</v>
      </c>
      <c r="E261" s="928">
        <v>1202</v>
      </c>
      <c r="F261" s="928"/>
      <c r="G261" s="928"/>
      <c r="H261" s="925"/>
      <c r="I261" s="929">
        <f>I262</f>
        <v>1464.75</v>
      </c>
      <c r="J261" s="248"/>
      <c r="K261" s="248"/>
      <c r="L261" s="248"/>
      <c r="M261" s="360"/>
    </row>
    <row r="262" spans="1:13" ht="24.75" customHeight="1" thickBot="1">
      <c r="A262" s="279"/>
      <c r="B262" s="42" t="s">
        <v>69</v>
      </c>
      <c r="C262" s="732" t="s">
        <v>964</v>
      </c>
      <c r="D262" s="648">
        <v>968</v>
      </c>
      <c r="E262" s="648">
        <v>1202</v>
      </c>
      <c r="F262" s="648" t="s">
        <v>646</v>
      </c>
      <c r="G262" s="648"/>
      <c r="H262" s="859"/>
      <c r="I262" s="857">
        <f>I263</f>
        <v>1464.75</v>
      </c>
      <c r="J262" s="248"/>
      <c r="K262" s="248"/>
      <c r="L262" s="248"/>
      <c r="M262" s="360"/>
    </row>
    <row r="263" spans="1:13" ht="14.25" customHeight="1" thickBot="1">
      <c r="A263" s="279"/>
      <c r="B263" s="895" t="s">
        <v>70</v>
      </c>
      <c r="C263" s="646" t="s">
        <v>920</v>
      </c>
      <c r="D263" s="644">
        <v>968</v>
      </c>
      <c r="E263" s="644">
        <v>1202</v>
      </c>
      <c r="F263" s="644" t="s">
        <v>646</v>
      </c>
      <c r="G263" s="644">
        <v>240</v>
      </c>
      <c r="H263" s="855"/>
      <c r="I263" s="856">
        <f>'Бюд.р.'!H597</f>
        <v>1464.75</v>
      </c>
      <c r="J263" s="248"/>
      <c r="K263" s="248"/>
      <c r="L263" s="248"/>
      <c r="M263" s="360"/>
    </row>
    <row r="264" spans="1:13" ht="18" customHeight="1" thickBot="1">
      <c r="A264" s="279"/>
      <c r="B264" s="365"/>
      <c r="C264" s="366" t="s">
        <v>294</v>
      </c>
      <c r="D264" s="367"/>
      <c r="E264" s="368"/>
      <c r="F264" s="369"/>
      <c r="G264" s="370"/>
      <c r="H264" s="368"/>
      <c r="I264" s="371" t="e">
        <f>I32+I65</f>
        <v>#REF!</v>
      </c>
      <c r="J264" s="248"/>
      <c r="K264" s="248"/>
      <c r="L264" s="248"/>
      <c r="M264" s="360"/>
    </row>
    <row r="265" spans="1:13" ht="29.25" customHeight="1" hidden="1" thickBot="1">
      <c r="A265" s="279"/>
      <c r="B265" s="365"/>
      <c r="C265" s="372" t="s">
        <v>734</v>
      </c>
      <c r="D265" s="367"/>
      <c r="E265" s="368"/>
      <c r="F265" s="369"/>
      <c r="G265" s="370"/>
      <c r="H265" s="368"/>
      <c r="I265" s="371">
        <f>кв!D110</f>
        <v>0</v>
      </c>
      <c r="J265" s="248"/>
      <c r="K265" s="248"/>
      <c r="L265" s="248"/>
      <c r="M265" s="360"/>
    </row>
    <row r="266" spans="1:13" ht="24.75" customHeight="1" thickBot="1">
      <c r="A266" s="279"/>
      <c r="B266" s="373"/>
      <c r="C266" s="375" t="s">
        <v>334</v>
      </c>
      <c r="D266" s="376"/>
      <c r="E266" s="377"/>
      <c r="F266" s="3117" t="s">
        <v>66</v>
      </c>
      <c r="G266" s="3117"/>
      <c r="H266" s="3117"/>
      <c r="I266" s="3117"/>
      <c r="J266" s="248"/>
      <c r="K266" s="248"/>
      <c r="L266" s="248"/>
      <c r="M266" s="360"/>
    </row>
    <row r="267" spans="1:13" ht="24.75" customHeight="1" thickBot="1">
      <c r="A267" s="279"/>
      <c r="B267" s="373"/>
      <c r="C267" s="375" t="s">
        <v>335</v>
      </c>
      <c r="D267" s="376"/>
      <c r="E267" s="377"/>
      <c r="F267" s="3117" t="s">
        <v>336</v>
      </c>
      <c r="G267" s="3117"/>
      <c r="H267" s="3117"/>
      <c r="I267" s="3117"/>
      <c r="J267" s="248"/>
      <c r="K267" s="248"/>
      <c r="L267" s="248"/>
      <c r="M267" s="360"/>
    </row>
    <row r="268" spans="1:13" ht="12.75" hidden="1">
      <c r="A268" s="48" t="s">
        <v>100</v>
      </c>
      <c r="B268" s="231"/>
      <c r="C268" s="232" t="s">
        <v>258</v>
      </c>
      <c r="D268" s="233"/>
      <c r="E268" s="234" t="s">
        <v>766</v>
      </c>
      <c r="F268" s="235" t="s">
        <v>418</v>
      </c>
      <c r="G268" s="235">
        <v>755</v>
      </c>
      <c r="H268" s="234" t="s">
        <v>242</v>
      </c>
      <c r="I268" s="225">
        <f aca="true" t="shared" si="3" ref="I268:I286">SUM(J268:M268)</f>
        <v>0</v>
      </c>
      <c r="J268" s="236"/>
      <c r="K268" s="236"/>
      <c r="L268" s="236"/>
      <c r="M268" s="236"/>
    </row>
    <row r="269" spans="1:13" ht="23.25" hidden="1" thickBot="1">
      <c r="A269" s="51" t="s">
        <v>651</v>
      </c>
      <c r="B269" s="170"/>
      <c r="C269" s="171" t="s">
        <v>767</v>
      </c>
      <c r="D269" s="26"/>
      <c r="E269" s="13" t="s">
        <v>766</v>
      </c>
      <c r="F269" s="13" t="s">
        <v>418</v>
      </c>
      <c r="G269" s="13" t="s">
        <v>290</v>
      </c>
      <c r="H269" s="13" t="s">
        <v>291</v>
      </c>
      <c r="I269" s="201">
        <f t="shared" si="3"/>
        <v>0</v>
      </c>
      <c r="J269" s="198"/>
      <c r="K269" s="198"/>
      <c r="L269" s="198"/>
      <c r="M269" s="198"/>
    </row>
    <row r="270" spans="1:13" ht="21" customHeight="1" hidden="1" thickBot="1">
      <c r="A270" s="161"/>
      <c r="B270" s="172"/>
      <c r="C270" s="175" t="s">
        <v>294</v>
      </c>
      <c r="D270" s="173"/>
      <c r="E270" s="174"/>
      <c r="F270" s="174"/>
      <c r="G270" s="174"/>
      <c r="H270" s="174"/>
      <c r="I270" s="201">
        <f t="shared" si="3"/>
        <v>0</v>
      </c>
      <c r="J270" s="199"/>
      <c r="K270" s="199"/>
      <c r="L270" s="199"/>
      <c r="M270" s="199"/>
    </row>
    <row r="271" spans="3:13" ht="12.75" hidden="1">
      <c r="C271" t="s">
        <v>798</v>
      </c>
      <c r="I271" s="201">
        <f t="shared" si="3"/>
        <v>0</v>
      </c>
      <c r="J271" s="38"/>
      <c r="K271" s="38"/>
      <c r="L271" s="38"/>
      <c r="M271" s="38"/>
    </row>
    <row r="272" spans="3:13" ht="12.75" hidden="1">
      <c r="C272" s="27" t="s">
        <v>776</v>
      </c>
      <c r="D272" s="27"/>
      <c r="E272" s="27"/>
      <c r="F272" s="27"/>
      <c r="G272" s="27"/>
      <c r="H272" s="27"/>
      <c r="I272" s="201">
        <f t="shared" si="3"/>
        <v>0</v>
      </c>
      <c r="J272" s="27"/>
      <c r="K272" s="27"/>
      <c r="L272" s="27"/>
      <c r="M272" s="27"/>
    </row>
    <row r="273" spans="3:9" ht="12.75" hidden="1">
      <c r="C273" t="s">
        <v>797</v>
      </c>
      <c r="I273" s="201">
        <f t="shared" si="3"/>
        <v>0</v>
      </c>
    </row>
    <row r="274" spans="3:9" ht="12.75" hidden="1">
      <c r="C274" t="s">
        <v>775</v>
      </c>
      <c r="I274" s="201">
        <f t="shared" si="3"/>
        <v>0</v>
      </c>
    </row>
    <row r="275" spans="3:9" ht="12.75" hidden="1">
      <c r="C275" t="s">
        <v>774</v>
      </c>
      <c r="I275" s="201">
        <f t="shared" si="3"/>
        <v>0</v>
      </c>
    </row>
    <row r="276" ht="12.75" hidden="1">
      <c r="I276" s="201">
        <f t="shared" si="3"/>
        <v>0</v>
      </c>
    </row>
    <row r="277" spans="3:13" ht="12.75" hidden="1">
      <c r="C277" s="121" t="s">
        <v>779</v>
      </c>
      <c r="D277" s="87"/>
      <c r="E277" s="87"/>
      <c r="F277" s="87"/>
      <c r="G277" s="87"/>
      <c r="H277" s="87"/>
      <c r="I277" s="201">
        <f t="shared" si="3"/>
        <v>0</v>
      </c>
      <c r="J277" s="87"/>
      <c r="K277" s="87"/>
      <c r="L277" s="87"/>
      <c r="M277" s="87"/>
    </row>
    <row r="278" spans="3:13" ht="12.75" hidden="1">
      <c r="C278" s="117" t="s">
        <v>777</v>
      </c>
      <c r="D278" s="38"/>
      <c r="E278" s="38"/>
      <c r="F278" s="38" t="e">
        <f>#REF!-#REF!</f>
        <v>#REF!</v>
      </c>
      <c r="G278" s="38"/>
      <c r="H278" s="38"/>
      <c r="I278" s="201">
        <f t="shared" si="3"/>
        <v>0</v>
      </c>
      <c r="J278" s="38"/>
      <c r="K278" s="38"/>
      <c r="L278" s="38"/>
      <c r="M278" s="38"/>
    </row>
    <row r="279" spans="3:13" ht="13.5" hidden="1" thickBot="1">
      <c r="C279" s="118" t="s">
        <v>773</v>
      </c>
      <c r="D279" s="119"/>
      <c r="E279" s="119"/>
      <c r="F279" s="38" t="e">
        <f>#REF!-#REF!</f>
        <v>#REF!</v>
      </c>
      <c r="G279" s="119"/>
      <c r="H279" s="119"/>
      <c r="I279" s="201">
        <f t="shared" si="3"/>
        <v>0</v>
      </c>
      <c r="J279" s="119"/>
      <c r="K279" s="119"/>
      <c r="L279" s="119"/>
      <c r="M279" s="119"/>
    </row>
    <row r="280" spans="3:13" ht="12.75" hidden="1">
      <c r="C280" s="121" t="s">
        <v>778</v>
      </c>
      <c r="D280" s="87"/>
      <c r="E280" s="87"/>
      <c r="F280" s="87"/>
      <c r="G280" s="87"/>
      <c r="H280" s="87"/>
      <c r="I280" s="201">
        <f t="shared" si="3"/>
        <v>0</v>
      </c>
      <c r="J280" s="87"/>
      <c r="K280" s="87"/>
      <c r="L280" s="87"/>
      <c r="M280" s="87"/>
    </row>
    <row r="281" spans="3:13" ht="12.75" hidden="1">
      <c r="C281" s="117" t="s">
        <v>777</v>
      </c>
      <c r="D281" s="38"/>
      <c r="E281" s="38"/>
      <c r="F281" s="115" t="e">
        <f>#REF!-#REF!</f>
        <v>#REF!</v>
      </c>
      <c r="G281" s="38"/>
      <c r="H281" s="38"/>
      <c r="I281" s="201">
        <f t="shared" si="3"/>
        <v>0</v>
      </c>
      <c r="J281" s="115"/>
      <c r="K281" s="115"/>
      <c r="L281" s="115"/>
      <c r="M281" s="115"/>
    </row>
    <row r="282" spans="3:13" ht="13.5" hidden="1" thickBot="1">
      <c r="C282" s="118" t="s">
        <v>773</v>
      </c>
      <c r="D282" s="119"/>
      <c r="E282" s="119"/>
      <c r="F282" s="120" t="e">
        <f>#REF!-#REF!</f>
        <v>#REF!</v>
      </c>
      <c r="G282" s="119"/>
      <c r="H282" s="119"/>
      <c r="I282" s="201">
        <f t="shared" si="3"/>
        <v>0</v>
      </c>
      <c r="J282" s="120"/>
      <c r="K282" s="120"/>
      <c r="L282" s="120"/>
      <c r="M282" s="120"/>
    </row>
    <row r="283" spans="9:13" ht="12.75" hidden="1">
      <c r="I283" s="201">
        <f t="shared" si="3"/>
        <v>0</v>
      </c>
      <c r="J283" s="116"/>
      <c r="K283" s="116"/>
      <c r="L283" s="116"/>
      <c r="M283" s="116"/>
    </row>
    <row r="284" spans="3:9" ht="12.75" hidden="1">
      <c r="C284" t="s">
        <v>315</v>
      </c>
      <c r="I284" s="201">
        <f t="shared" si="3"/>
        <v>0</v>
      </c>
    </row>
    <row r="285" spans="3:9" ht="12.75" hidden="1">
      <c r="C285" t="s">
        <v>316</v>
      </c>
      <c r="I285" s="201">
        <f t="shared" si="3"/>
        <v>0</v>
      </c>
    </row>
    <row r="286" spans="3:9" ht="12.75" hidden="1">
      <c r="C286" t="s">
        <v>317</v>
      </c>
      <c r="I286" s="280">
        <f t="shared" si="3"/>
        <v>0</v>
      </c>
    </row>
    <row r="287" spans="2:9" ht="12.75">
      <c r="B287" s="361"/>
      <c r="C287" s="361"/>
      <c r="D287" s="361"/>
      <c r="E287" s="361"/>
      <c r="F287" s="361"/>
      <c r="G287" s="361"/>
      <c r="H287" s="361"/>
      <c r="I287" s="278"/>
    </row>
    <row r="288" spans="2:13" ht="12.75">
      <c r="B288" s="38"/>
      <c r="C288" s="38"/>
      <c r="D288" s="38"/>
      <c r="E288" s="38"/>
      <c r="F288" s="38"/>
      <c r="G288" s="38"/>
      <c r="H288" s="38"/>
      <c r="I288" s="278"/>
      <c r="J288" s="38"/>
      <c r="K288" s="38"/>
      <c r="L288" s="38"/>
      <c r="M288" s="38"/>
    </row>
  </sheetData>
  <sheetProtection/>
  <mergeCells count="29">
    <mergeCell ref="F266:I266"/>
    <mergeCell ref="C9:I9"/>
    <mergeCell ref="C10:I10"/>
    <mergeCell ref="C11:I11"/>
    <mergeCell ref="C12:I12"/>
    <mergeCell ref="C13:I13"/>
    <mergeCell ref="C20:I20"/>
    <mergeCell ref="C21:I21"/>
    <mergeCell ref="C24:I24"/>
    <mergeCell ref="F267:I267"/>
    <mergeCell ref="C1:I1"/>
    <mergeCell ref="C2:I2"/>
    <mergeCell ref="C3:I3"/>
    <mergeCell ref="C27:I27"/>
    <mergeCell ref="B26:I26"/>
    <mergeCell ref="C18:I18"/>
    <mergeCell ref="C19:I19"/>
    <mergeCell ref="C5:I5"/>
    <mergeCell ref="C6:I6"/>
    <mergeCell ref="C7:I7"/>
    <mergeCell ref="B25:I25"/>
    <mergeCell ref="C4:I4"/>
    <mergeCell ref="C8:I8"/>
    <mergeCell ref="C14:I14"/>
    <mergeCell ref="C15:I15"/>
    <mergeCell ref="C16:I16"/>
    <mergeCell ref="C17:I17"/>
    <mergeCell ref="C22:I22"/>
    <mergeCell ref="C23:I23"/>
  </mergeCells>
  <printOptions/>
  <pageMargins left="0.53" right="0.24" top="0.42" bottom="0.3" header="0.17" footer="0.3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zoomScale="107" zoomScaleNormal="107" zoomScaleSheetLayoutView="100" zoomScalePageLayoutView="0" workbookViewId="0" topLeftCell="B1">
      <selection activeCell="D7" sqref="D7:D9"/>
    </sheetView>
  </sheetViews>
  <sheetFormatPr defaultColWidth="9.00390625" defaultRowHeight="12.75"/>
  <cols>
    <col min="1" max="1" width="6.25390625" style="0" hidden="1" customWidth="1"/>
    <col min="2" max="2" width="5.00390625" style="0" customWidth="1"/>
    <col min="3" max="3" width="19.25390625" style="0" customWidth="1"/>
    <col min="4" max="4" width="49.75390625" style="0" customWidth="1"/>
    <col min="5" max="5" width="8.125" style="0" customWidth="1"/>
    <col min="6" max="6" width="9.25390625" style="0" hidden="1" customWidth="1"/>
    <col min="7" max="7" width="9.75390625" style="0" hidden="1" customWidth="1"/>
    <col min="8" max="8" width="9.625" style="0" hidden="1" customWidth="1"/>
    <col min="9" max="9" width="9.25390625" style="0" hidden="1" customWidth="1"/>
    <col min="10" max="10" width="8.00390625" style="0" customWidth="1"/>
    <col min="11" max="11" width="6.625" style="0" customWidth="1"/>
  </cols>
  <sheetData>
    <row r="1" spans="1:11" ht="12.75">
      <c r="A1" s="3147"/>
      <c r="B1" s="3147"/>
      <c r="C1" s="3147"/>
      <c r="D1" s="3148" t="s">
        <v>910</v>
      </c>
      <c r="E1" s="3148"/>
      <c r="F1" s="3148"/>
      <c r="G1" s="3148"/>
      <c r="H1" s="3148"/>
      <c r="I1" s="3148"/>
      <c r="J1" s="3148"/>
      <c r="K1" s="3148"/>
    </row>
    <row r="2" spans="4:11" ht="15.75" customHeight="1">
      <c r="D2" s="3148" t="s">
        <v>416</v>
      </c>
      <c r="E2" s="3148"/>
      <c r="F2" s="3148"/>
      <c r="G2" s="3148"/>
      <c r="H2" s="3148"/>
      <c r="I2" s="3148"/>
      <c r="J2" s="3148"/>
      <c r="K2" s="3148"/>
    </row>
    <row r="3" spans="1:11" ht="18" customHeight="1">
      <c r="A3" s="14"/>
      <c r="D3" s="3148" t="s">
        <v>1435</v>
      </c>
      <c r="E3" s="3148"/>
      <c r="F3" s="3148"/>
      <c r="G3" s="3148"/>
      <c r="H3" s="3148"/>
      <c r="I3" s="3148"/>
      <c r="J3" s="3148"/>
      <c r="K3" s="3148"/>
    </row>
    <row r="4" spans="1:11" ht="21" customHeight="1">
      <c r="A4" s="3149" t="s">
        <v>1417</v>
      </c>
      <c r="B4" s="3149"/>
      <c r="C4" s="3149"/>
      <c r="D4" s="3149"/>
      <c r="E4" s="3149"/>
      <c r="F4" s="3149"/>
      <c r="G4" s="3149"/>
      <c r="H4" s="3149"/>
      <c r="I4" s="3149"/>
      <c r="J4" s="3149"/>
      <c r="K4" s="3149"/>
    </row>
    <row r="5" spans="1:11" ht="12.75" customHeight="1">
      <c r="A5" s="3122" t="s">
        <v>1418</v>
      </c>
      <c r="B5" s="3122"/>
      <c r="C5" s="3122"/>
      <c r="D5" s="3122"/>
      <c r="E5" s="3122"/>
      <c r="F5" s="3122"/>
      <c r="G5" s="3122"/>
      <c r="H5" s="3122"/>
      <c r="I5" s="3122"/>
      <c r="J5" s="3122"/>
      <c r="K5" s="3122"/>
    </row>
    <row r="6" spans="1:11" ht="18" customHeight="1" thickBot="1">
      <c r="A6" s="3150" t="s">
        <v>1413</v>
      </c>
      <c r="B6" s="3151"/>
      <c r="C6" s="3151"/>
      <c r="D6" s="3151"/>
      <c r="E6" s="3151"/>
      <c r="F6" s="3151"/>
      <c r="G6" s="3151"/>
      <c r="H6" s="3151"/>
      <c r="I6" s="3151"/>
      <c r="J6" s="3151"/>
      <c r="K6" s="3151"/>
    </row>
    <row r="7" spans="1:11" ht="19.5" customHeight="1" thickBot="1">
      <c r="A7" s="2534"/>
      <c r="B7" s="3123" t="s">
        <v>267</v>
      </c>
      <c r="C7" s="3124"/>
      <c r="D7" s="3125" t="s">
        <v>1421</v>
      </c>
      <c r="E7" s="3128" t="s">
        <v>1422</v>
      </c>
      <c r="F7" s="2551"/>
      <c r="G7" s="2550"/>
      <c r="H7" s="2550"/>
      <c r="I7" s="2550"/>
      <c r="J7" s="3131" t="s">
        <v>1414</v>
      </c>
      <c r="K7" s="3134" t="s">
        <v>1415</v>
      </c>
    </row>
    <row r="8" spans="1:11" ht="15.75" customHeight="1">
      <c r="A8" s="3141" t="s">
        <v>622</v>
      </c>
      <c r="B8" s="3143" t="s">
        <v>1419</v>
      </c>
      <c r="C8" s="3145" t="s">
        <v>1420</v>
      </c>
      <c r="D8" s="3126"/>
      <c r="E8" s="3129"/>
      <c r="F8" s="3137" t="s">
        <v>445</v>
      </c>
      <c r="G8" s="3139" t="s">
        <v>446</v>
      </c>
      <c r="H8" s="3139" t="s">
        <v>447</v>
      </c>
      <c r="I8" s="3139" t="s">
        <v>448</v>
      </c>
      <c r="J8" s="3132"/>
      <c r="K8" s="3135"/>
    </row>
    <row r="9" spans="1:11" ht="62.25" customHeight="1" thickBot="1">
      <c r="A9" s="3142"/>
      <c r="B9" s="3144"/>
      <c r="C9" s="3146"/>
      <c r="D9" s="3127"/>
      <c r="E9" s="3130"/>
      <c r="F9" s="3138"/>
      <c r="G9" s="3140"/>
      <c r="H9" s="3140"/>
      <c r="I9" s="3140"/>
      <c r="J9" s="3133"/>
      <c r="K9" s="3136"/>
    </row>
    <row r="10" spans="1:11" ht="32.25" customHeight="1" hidden="1" thickBot="1">
      <c r="A10" s="2120" t="s">
        <v>607</v>
      </c>
      <c r="B10" s="2544" t="s">
        <v>152</v>
      </c>
      <c r="C10" s="2545" t="s">
        <v>151</v>
      </c>
      <c r="D10" s="2549" t="s">
        <v>373</v>
      </c>
      <c r="E10" s="2546">
        <f aca="true" t="shared" si="0" ref="E10:J10">E11+E33</f>
        <v>105599.3</v>
      </c>
      <c r="F10" s="2546" t="e">
        <f t="shared" si="0"/>
        <v>#REF!</v>
      </c>
      <c r="G10" s="2546" t="e">
        <f t="shared" si="0"/>
        <v>#REF!</v>
      </c>
      <c r="H10" s="2546" t="e">
        <f t="shared" si="0"/>
        <v>#REF!</v>
      </c>
      <c r="I10" s="2546" t="e">
        <f t="shared" si="0"/>
        <v>#REF!</v>
      </c>
      <c r="J10" s="2547">
        <f t="shared" si="0"/>
        <v>111778.00000000001</v>
      </c>
      <c r="K10" s="2548">
        <f aca="true" t="shared" si="1" ref="K10:K15">J10/E10%</f>
        <v>105.85108045223787</v>
      </c>
    </row>
    <row r="11" spans="1:11" ht="19.5" hidden="1" thickBot="1">
      <c r="A11" s="2121"/>
      <c r="B11" s="2529"/>
      <c r="C11" s="2530"/>
      <c r="D11" s="2531" t="s">
        <v>479</v>
      </c>
      <c r="E11" s="2541">
        <f aca="true" t="shared" si="2" ref="E11:J11">E12+E27+E30</f>
        <v>102972.5</v>
      </c>
      <c r="F11" s="2541">
        <f t="shared" si="2"/>
        <v>10618</v>
      </c>
      <c r="G11" s="2541">
        <f t="shared" si="2"/>
        <v>11744</v>
      </c>
      <c r="H11" s="2541">
        <f t="shared" si="2"/>
        <v>24365</v>
      </c>
      <c r="I11" s="2541">
        <f t="shared" si="2"/>
        <v>13611</v>
      </c>
      <c r="J11" s="2542">
        <f t="shared" si="2"/>
        <v>105272.40000000001</v>
      </c>
      <c r="K11" s="2543">
        <f t="shared" si="1"/>
        <v>102.23350894656342</v>
      </c>
    </row>
    <row r="12" spans="1:11" ht="17.25" customHeight="1" hidden="1" thickBot="1">
      <c r="A12" s="2122">
        <v>1</v>
      </c>
      <c r="B12" s="2522" t="s">
        <v>154</v>
      </c>
      <c r="C12" s="2523" t="s">
        <v>153</v>
      </c>
      <c r="D12" s="2524" t="s">
        <v>270</v>
      </c>
      <c r="E12" s="2525">
        <f>кв!D28</f>
        <v>60562.6</v>
      </c>
      <c r="F12" s="2526">
        <f>F13+F22</f>
        <v>9498</v>
      </c>
      <c r="G12" s="2527">
        <f>G13+G22</f>
        <v>11401</v>
      </c>
      <c r="H12" s="2527">
        <f>H13+H22</f>
        <v>10124</v>
      </c>
      <c r="I12" s="2528">
        <f>I13+I22</f>
        <v>10193</v>
      </c>
      <c r="J12" s="2528">
        <f>J13+J22+J25</f>
        <v>61234.00000000001</v>
      </c>
      <c r="K12" s="2539">
        <f t="shared" si="1"/>
        <v>101.10860498063163</v>
      </c>
    </row>
    <row r="13" spans="1:11" ht="27.75" customHeight="1" hidden="1">
      <c r="A13" s="2123" t="s">
        <v>245</v>
      </c>
      <c r="B13" s="80" t="s">
        <v>154</v>
      </c>
      <c r="C13" s="1678" t="s">
        <v>602</v>
      </c>
      <c r="D13" s="1679" t="s">
        <v>321</v>
      </c>
      <c r="E13" s="2503">
        <f>E14+E17+E20</f>
        <v>26832.6</v>
      </c>
      <c r="F13" s="2512">
        <f>SUM(F14:F17)</f>
        <v>4504</v>
      </c>
      <c r="G13" s="2513">
        <f>SUM(G14:G17)</f>
        <v>5669</v>
      </c>
      <c r="H13" s="2513">
        <f>SUM(H14:H17)</f>
        <v>5302</v>
      </c>
      <c r="I13" s="2514">
        <f>SUM(I14:I17)</f>
        <v>4601</v>
      </c>
      <c r="J13" s="2537">
        <f>J14+J17+J20</f>
        <v>27764.200000000004</v>
      </c>
      <c r="K13" s="2540">
        <f t="shared" si="1"/>
        <v>103.4718961263538</v>
      </c>
    </row>
    <row r="14" spans="1:11" ht="26.25" customHeight="1" hidden="1">
      <c r="A14" s="2124" t="s">
        <v>182</v>
      </c>
      <c r="B14" s="984" t="s">
        <v>155</v>
      </c>
      <c r="C14" s="2163" t="s">
        <v>156</v>
      </c>
      <c r="D14" s="2150" t="s">
        <v>337</v>
      </c>
      <c r="E14" s="2515">
        <f>кв!D31</f>
        <v>19140</v>
      </c>
      <c r="F14" s="2515">
        <f>кв!E31</f>
        <v>4354</v>
      </c>
      <c r="G14" s="2515">
        <f>кв!F31</f>
        <v>5398</v>
      </c>
      <c r="H14" s="2515">
        <f>кв!G31</f>
        <v>5050</v>
      </c>
      <c r="I14" s="2515">
        <f>кв!H31</f>
        <v>4338</v>
      </c>
      <c r="J14" s="2538">
        <f>SUM(J15:J16)</f>
        <v>19417.600000000002</v>
      </c>
      <c r="K14" s="2496">
        <f t="shared" si="1"/>
        <v>101.4503657262278</v>
      </c>
    </row>
    <row r="15" spans="1:11" ht="26.25" customHeight="1">
      <c r="A15" s="497" t="s">
        <v>185</v>
      </c>
      <c r="B15" s="182" t="s">
        <v>155</v>
      </c>
      <c r="C15" s="65" t="s">
        <v>843</v>
      </c>
      <c r="D15" s="2151" t="s">
        <v>337</v>
      </c>
      <c r="E15" s="2558">
        <f>кв!D32</f>
        <v>19137</v>
      </c>
      <c r="F15" s="2559"/>
      <c r="G15" s="2560"/>
      <c r="H15" s="2560"/>
      <c r="I15" s="2561"/>
      <c r="J15" s="2562">
        <v>19413.7</v>
      </c>
      <c r="K15" s="2563">
        <f t="shared" si="1"/>
        <v>101.44589016042222</v>
      </c>
    </row>
    <row r="16" spans="1:11" ht="39.75" customHeight="1">
      <c r="A16" s="497" t="s">
        <v>186</v>
      </c>
      <c r="B16" s="182" t="s">
        <v>155</v>
      </c>
      <c r="C16" s="65" t="s">
        <v>844</v>
      </c>
      <c r="D16" s="2151" t="s">
        <v>847</v>
      </c>
      <c r="E16" s="2558">
        <f>кв!D33</f>
        <v>3</v>
      </c>
      <c r="F16" s="2559"/>
      <c r="G16" s="2560"/>
      <c r="H16" s="2560"/>
      <c r="I16" s="2561"/>
      <c r="J16" s="2562">
        <v>3.9</v>
      </c>
      <c r="K16" s="2563">
        <f aca="true" t="shared" si="3" ref="K16:K79">J16/E16%</f>
        <v>130</v>
      </c>
    </row>
    <row r="17" spans="1:11" ht="36.75" customHeight="1" hidden="1">
      <c r="A17" s="2124" t="s">
        <v>374</v>
      </c>
      <c r="B17" s="984" t="s">
        <v>155</v>
      </c>
      <c r="C17" s="2163" t="s">
        <v>201</v>
      </c>
      <c r="D17" s="2150" t="s">
        <v>338</v>
      </c>
      <c r="E17" s="2564">
        <f>кв!D34</f>
        <v>5938.6</v>
      </c>
      <c r="F17" s="2559">
        <v>150</v>
      </c>
      <c r="G17" s="2560">
        <v>271</v>
      </c>
      <c r="H17" s="2560">
        <v>252</v>
      </c>
      <c r="I17" s="2561">
        <v>263</v>
      </c>
      <c r="J17" s="2565">
        <f>SUM(J18:J19)</f>
        <v>6712.2</v>
      </c>
      <c r="K17" s="2563">
        <f t="shared" si="3"/>
        <v>113.02663927525005</v>
      </c>
    </row>
    <row r="18" spans="1:11" ht="37.5" customHeight="1">
      <c r="A18" s="497" t="s">
        <v>185</v>
      </c>
      <c r="B18" s="182" t="s">
        <v>155</v>
      </c>
      <c r="C18" s="65" t="s">
        <v>845</v>
      </c>
      <c r="D18" s="2151" t="s">
        <v>338</v>
      </c>
      <c r="E18" s="2558">
        <f>кв!D35</f>
        <v>5937.6</v>
      </c>
      <c r="F18" s="2566"/>
      <c r="G18" s="2567"/>
      <c r="H18" s="2567"/>
      <c r="I18" s="2568"/>
      <c r="J18" s="2565">
        <v>6714.7</v>
      </c>
      <c r="K18" s="2563">
        <f t="shared" si="3"/>
        <v>113.08777957423874</v>
      </c>
    </row>
    <row r="19" spans="1:11" ht="49.5" customHeight="1">
      <c r="A19" s="497" t="s">
        <v>186</v>
      </c>
      <c r="B19" s="182" t="s">
        <v>155</v>
      </c>
      <c r="C19" s="65" t="s">
        <v>846</v>
      </c>
      <c r="D19" s="2151" t="s">
        <v>848</v>
      </c>
      <c r="E19" s="2558">
        <f>кв!D36</f>
        <v>1</v>
      </c>
      <c r="F19" s="2566"/>
      <c r="G19" s="2567"/>
      <c r="H19" s="2567"/>
      <c r="I19" s="2568"/>
      <c r="J19" s="2565">
        <v>-2.5</v>
      </c>
      <c r="K19" s="2563">
        <f t="shared" si="3"/>
        <v>-250</v>
      </c>
    </row>
    <row r="20" spans="1:11" ht="27" customHeight="1">
      <c r="A20" s="2124" t="s">
        <v>991</v>
      </c>
      <c r="B20" s="182" t="s">
        <v>860</v>
      </c>
      <c r="C20" s="65" t="s">
        <v>863</v>
      </c>
      <c r="D20" s="2152" t="s">
        <v>862</v>
      </c>
      <c r="E20" s="2558">
        <f>кв!D37</f>
        <v>1754</v>
      </c>
      <c r="F20" s="2566"/>
      <c r="G20" s="2567"/>
      <c r="H20" s="2567"/>
      <c r="I20" s="2568"/>
      <c r="J20" s="2565">
        <v>1634.4</v>
      </c>
      <c r="K20" s="2563">
        <f t="shared" si="3"/>
        <v>93.18129988597492</v>
      </c>
    </row>
    <row r="21" spans="1:11" ht="27" customHeight="1" hidden="1">
      <c r="A21" s="497" t="s">
        <v>185</v>
      </c>
      <c r="B21" s="182" t="s">
        <v>860</v>
      </c>
      <c r="C21" s="65" t="s">
        <v>861</v>
      </c>
      <c r="D21" s="2152" t="s">
        <v>862</v>
      </c>
      <c r="E21" s="2558">
        <f>кв!D38</f>
        <v>1319.3</v>
      </c>
      <c r="F21" s="2566"/>
      <c r="G21" s="2567"/>
      <c r="H21" s="2567"/>
      <c r="I21" s="2568"/>
      <c r="J21" s="2565"/>
      <c r="K21" s="2563">
        <f t="shared" si="3"/>
        <v>0</v>
      </c>
    </row>
    <row r="22" spans="1:11" ht="29.25" customHeight="1" hidden="1">
      <c r="A22" s="2125" t="s">
        <v>233</v>
      </c>
      <c r="B22" s="409" t="s">
        <v>154</v>
      </c>
      <c r="C22" s="69" t="s">
        <v>490</v>
      </c>
      <c r="D22" s="2158" t="s">
        <v>271</v>
      </c>
      <c r="E22" s="2569">
        <f>кв!D39</f>
        <v>33333</v>
      </c>
      <c r="F22" s="2570">
        <v>4994</v>
      </c>
      <c r="G22" s="2571">
        <v>5732</v>
      </c>
      <c r="H22" s="2571">
        <v>4822</v>
      </c>
      <c r="I22" s="2572">
        <v>5592</v>
      </c>
      <c r="J22" s="2565">
        <f>SUM(J23:J24)</f>
        <v>32766.300000000003</v>
      </c>
      <c r="K22" s="2563">
        <f t="shared" si="3"/>
        <v>98.29988299883</v>
      </c>
    </row>
    <row r="23" spans="1:11" ht="23.25" customHeight="1">
      <c r="A23" s="2126" t="s">
        <v>185</v>
      </c>
      <c r="B23" s="182" t="s">
        <v>155</v>
      </c>
      <c r="C23" s="65" t="s">
        <v>849</v>
      </c>
      <c r="D23" s="2151" t="s">
        <v>271</v>
      </c>
      <c r="E23" s="2558">
        <f>кв!D40</f>
        <v>33300</v>
      </c>
      <c r="F23" s="2573"/>
      <c r="G23" s="2574"/>
      <c r="H23" s="2574"/>
      <c r="I23" s="2575"/>
      <c r="J23" s="2565">
        <v>32733.4</v>
      </c>
      <c r="K23" s="2563">
        <f t="shared" si="3"/>
        <v>98.2984984984985</v>
      </c>
    </row>
    <row r="24" spans="1:11" ht="37.5" customHeight="1">
      <c r="A24" s="2127" t="s">
        <v>186</v>
      </c>
      <c r="B24" s="182" t="s">
        <v>155</v>
      </c>
      <c r="C24" s="65" t="s">
        <v>850</v>
      </c>
      <c r="D24" s="2151" t="s">
        <v>851</v>
      </c>
      <c r="E24" s="2558">
        <f>кв!D41</f>
        <v>33</v>
      </c>
      <c r="F24" s="2573"/>
      <c r="G24" s="2574"/>
      <c r="H24" s="2574"/>
      <c r="I24" s="2575"/>
      <c r="J24" s="2565">
        <v>32.9</v>
      </c>
      <c r="K24" s="2563">
        <f t="shared" si="3"/>
        <v>99.69696969696969</v>
      </c>
    </row>
    <row r="25" spans="1:11" ht="26.25" customHeight="1" hidden="1">
      <c r="A25" s="2128" t="s">
        <v>613</v>
      </c>
      <c r="B25" s="409" t="s">
        <v>154</v>
      </c>
      <c r="C25" s="69" t="s">
        <v>1108</v>
      </c>
      <c r="D25" s="2158" t="s">
        <v>1109</v>
      </c>
      <c r="E25" s="2569">
        <f>E26</f>
        <v>397</v>
      </c>
      <c r="F25" s="2573"/>
      <c r="G25" s="2574"/>
      <c r="H25" s="2574"/>
      <c r="I25" s="2575"/>
      <c r="J25" s="2565">
        <f>J26</f>
        <v>703.5</v>
      </c>
      <c r="K25" s="2563">
        <f t="shared" si="3"/>
        <v>177.20403022670024</v>
      </c>
    </row>
    <row r="26" spans="1:11" ht="37.5" customHeight="1">
      <c r="A26" s="2127" t="s">
        <v>185</v>
      </c>
      <c r="B26" s="411" t="s">
        <v>155</v>
      </c>
      <c r="C26" s="2532" t="s">
        <v>1110</v>
      </c>
      <c r="D26" s="2162" t="s">
        <v>1350</v>
      </c>
      <c r="E26" s="2576">
        <f>кв!D43</f>
        <v>397</v>
      </c>
      <c r="F26" s="2573"/>
      <c r="G26" s="2574"/>
      <c r="H26" s="2574"/>
      <c r="I26" s="2575"/>
      <c r="J26" s="2577">
        <v>703.5</v>
      </c>
      <c r="K26" s="2578">
        <f t="shared" si="3"/>
        <v>177.20403022670024</v>
      </c>
    </row>
    <row r="27" spans="1:11" ht="16.5" customHeight="1" hidden="1" thickBot="1">
      <c r="A27" s="2129" t="s">
        <v>768</v>
      </c>
      <c r="B27" s="2579" t="s">
        <v>154</v>
      </c>
      <c r="C27" s="2580" t="s">
        <v>157</v>
      </c>
      <c r="D27" s="2533" t="s">
        <v>272</v>
      </c>
      <c r="E27" s="2581">
        <f>E28</f>
        <v>42399.9</v>
      </c>
      <c r="F27" s="2582">
        <f aca="true" t="shared" si="4" ref="F27:I28">F28</f>
        <v>1108</v>
      </c>
      <c r="G27" s="2583">
        <f t="shared" si="4"/>
        <v>323</v>
      </c>
      <c r="H27" s="2583">
        <f t="shared" si="4"/>
        <v>14238</v>
      </c>
      <c r="I27" s="2584">
        <f t="shared" si="4"/>
        <v>3418</v>
      </c>
      <c r="J27" s="2585">
        <f>J28</f>
        <v>44038.4</v>
      </c>
      <c r="K27" s="2586">
        <f t="shared" si="3"/>
        <v>103.86439590659411</v>
      </c>
    </row>
    <row r="28" spans="1:11" ht="15.75" customHeight="1" hidden="1">
      <c r="A28" s="2130" t="s">
        <v>280</v>
      </c>
      <c r="B28" s="2552" t="s">
        <v>154</v>
      </c>
      <c r="C28" s="66" t="s">
        <v>603</v>
      </c>
      <c r="D28" s="67" t="s">
        <v>273</v>
      </c>
      <c r="E28" s="2587">
        <f>E29</f>
        <v>42399.9</v>
      </c>
      <c r="F28" s="2588">
        <f t="shared" si="4"/>
        <v>1108</v>
      </c>
      <c r="G28" s="2589">
        <f t="shared" si="4"/>
        <v>323</v>
      </c>
      <c r="H28" s="2589">
        <f t="shared" si="4"/>
        <v>14238</v>
      </c>
      <c r="I28" s="2590">
        <f t="shared" si="4"/>
        <v>3418</v>
      </c>
      <c r="J28" s="2591">
        <f>J29</f>
        <v>44038.4</v>
      </c>
      <c r="K28" s="2592">
        <f t="shared" si="3"/>
        <v>103.86439590659411</v>
      </c>
    </row>
    <row r="29" spans="1:11" ht="55.5" customHeight="1">
      <c r="A29" s="2131" t="s">
        <v>187</v>
      </c>
      <c r="B29" s="411" t="s">
        <v>155</v>
      </c>
      <c r="C29" s="2532" t="s">
        <v>491</v>
      </c>
      <c r="D29" s="2162" t="s">
        <v>1351</v>
      </c>
      <c r="E29" s="2593">
        <f>кв!D46</f>
        <v>42399.9</v>
      </c>
      <c r="F29" s="2566">
        <v>1108</v>
      </c>
      <c r="G29" s="2567">
        <v>323</v>
      </c>
      <c r="H29" s="2567">
        <v>14238</v>
      </c>
      <c r="I29" s="2568">
        <v>3418</v>
      </c>
      <c r="J29" s="2594">
        <v>44038.4</v>
      </c>
      <c r="K29" s="2578">
        <f t="shared" si="3"/>
        <v>103.86439590659411</v>
      </c>
    </row>
    <row r="30" spans="1:11" ht="25.5" customHeight="1" hidden="1" thickBot="1">
      <c r="A30" s="2122">
        <v>3</v>
      </c>
      <c r="B30" s="2579" t="s">
        <v>154</v>
      </c>
      <c r="C30" s="2580" t="s">
        <v>116</v>
      </c>
      <c r="D30" s="2533" t="s">
        <v>551</v>
      </c>
      <c r="E30" s="2581">
        <f aca="true" t="shared" si="5" ref="E30:I31">E31</f>
        <v>10</v>
      </c>
      <c r="F30" s="2595">
        <f t="shared" si="5"/>
        <v>12</v>
      </c>
      <c r="G30" s="2581">
        <f t="shared" si="5"/>
        <v>20</v>
      </c>
      <c r="H30" s="2581">
        <f t="shared" si="5"/>
        <v>3</v>
      </c>
      <c r="I30" s="2596">
        <f t="shared" si="5"/>
        <v>0</v>
      </c>
      <c r="J30" s="2597">
        <f>J31</f>
        <v>0</v>
      </c>
      <c r="K30" s="2598">
        <f t="shared" si="3"/>
        <v>0</v>
      </c>
    </row>
    <row r="31" spans="1:11" ht="15" customHeight="1" hidden="1">
      <c r="A31" s="2123" t="s">
        <v>235</v>
      </c>
      <c r="B31" s="71" t="s">
        <v>154</v>
      </c>
      <c r="C31" s="70" t="s">
        <v>746</v>
      </c>
      <c r="D31" s="67" t="s">
        <v>747</v>
      </c>
      <c r="E31" s="2599">
        <f t="shared" si="5"/>
        <v>10</v>
      </c>
      <c r="F31" s="2588">
        <f t="shared" si="5"/>
        <v>12</v>
      </c>
      <c r="G31" s="2589">
        <f t="shared" si="5"/>
        <v>20</v>
      </c>
      <c r="H31" s="2589">
        <f t="shared" si="5"/>
        <v>3</v>
      </c>
      <c r="I31" s="2590">
        <f t="shared" si="5"/>
        <v>0</v>
      </c>
      <c r="J31" s="2600">
        <f>J32</f>
        <v>0</v>
      </c>
      <c r="K31" s="2601">
        <f t="shared" si="3"/>
        <v>0</v>
      </c>
    </row>
    <row r="32" spans="1:11" ht="27.75" customHeight="1">
      <c r="A32" s="2132" t="s">
        <v>195</v>
      </c>
      <c r="B32" s="78" t="s">
        <v>155</v>
      </c>
      <c r="C32" s="79" t="s">
        <v>198</v>
      </c>
      <c r="D32" s="2151" t="s">
        <v>274</v>
      </c>
      <c r="E32" s="2558">
        <f>кв!D49</f>
        <v>10</v>
      </c>
      <c r="F32" s="2559">
        <v>12</v>
      </c>
      <c r="G32" s="2560">
        <v>20</v>
      </c>
      <c r="H32" s="2560">
        <v>3</v>
      </c>
      <c r="I32" s="2561">
        <v>0</v>
      </c>
      <c r="J32" s="2602">
        <v>0</v>
      </c>
      <c r="K32" s="2603">
        <f t="shared" si="3"/>
        <v>0</v>
      </c>
    </row>
    <row r="33" spans="1:11" ht="15.75" customHeight="1" hidden="1" thickBot="1">
      <c r="A33" s="2133"/>
      <c r="B33" s="2604"/>
      <c r="C33" s="2605"/>
      <c r="D33" s="2606" t="s">
        <v>480</v>
      </c>
      <c r="E33" s="2607">
        <f aca="true" t="shared" si="6" ref="E33:J33">E41+E52+E68</f>
        <v>2626.8</v>
      </c>
      <c r="F33" s="2607" t="e">
        <f t="shared" si="6"/>
        <v>#REF!</v>
      </c>
      <c r="G33" s="2607" t="e">
        <f t="shared" si="6"/>
        <v>#REF!</v>
      </c>
      <c r="H33" s="2607" t="e">
        <f t="shared" si="6"/>
        <v>#REF!</v>
      </c>
      <c r="I33" s="2607" t="e">
        <f t="shared" si="6"/>
        <v>#REF!</v>
      </c>
      <c r="J33" s="2608">
        <f t="shared" si="6"/>
        <v>6505.6</v>
      </c>
      <c r="K33" s="2609">
        <f t="shared" si="3"/>
        <v>247.66255520024365</v>
      </c>
    </row>
    <row r="34" spans="1:11" ht="24" customHeight="1" hidden="1" thickBot="1">
      <c r="A34" s="2134" t="s">
        <v>614</v>
      </c>
      <c r="B34" s="2610" t="s">
        <v>154</v>
      </c>
      <c r="C34" s="2611" t="s">
        <v>122</v>
      </c>
      <c r="D34" s="86" t="s">
        <v>123</v>
      </c>
      <c r="E34" s="2612"/>
      <c r="F34" s="2613">
        <f>F35+F38</f>
        <v>0</v>
      </c>
      <c r="G34" s="2614">
        <f>G35+G38</f>
        <v>0</v>
      </c>
      <c r="H34" s="2614">
        <f>H35+H38</f>
        <v>0</v>
      </c>
      <c r="I34" s="2615">
        <f>I35+I38</f>
        <v>0</v>
      </c>
      <c r="J34" s="2565"/>
      <c r="K34" s="2563" t="e">
        <f t="shared" si="3"/>
        <v>#DIV/0!</v>
      </c>
    </row>
    <row r="35" spans="1:11" ht="27" customHeight="1" hidden="1">
      <c r="A35" s="2135" t="s">
        <v>615</v>
      </c>
      <c r="B35" s="71" t="s">
        <v>591</v>
      </c>
      <c r="C35" s="70" t="s">
        <v>124</v>
      </c>
      <c r="D35" s="2153" t="s">
        <v>125</v>
      </c>
      <c r="E35" s="2616"/>
      <c r="F35" s="2617">
        <f>F37</f>
        <v>0</v>
      </c>
      <c r="G35" s="2618">
        <f>G37</f>
        <v>0</v>
      </c>
      <c r="H35" s="2618">
        <f>H37</f>
        <v>0</v>
      </c>
      <c r="I35" s="2619">
        <f>I37</f>
        <v>0</v>
      </c>
      <c r="J35" s="2565"/>
      <c r="K35" s="2563" t="e">
        <f t="shared" si="3"/>
        <v>#DIV/0!</v>
      </c>
    </row>
    <row r="36" spans="1:11" ht="63.75" customHeight="1" hidden="1">
      <c r="A36" s="504" t="s">
        <v>97</v>
      </c>
      <c r="B36" s="78" t="s">
        <v>591</v>
      </c>
      <c r="C36" s="79" t="s">
        <v>196</v>
      </c>
      <c r="D36" s="2154" t="s">
        <v>640</v>
      </c>
      <c r="E36" s="2620"/>
      <c r="F36" s="2621">
        <f>F37</f>
        <v>0</v>
      </c>
      <c r="G36" s="2622">
        <f>G37</f>
        <v>0</v>
      </c>
      <c r="H36" s="2622">
        <f>H37</f>
        <v>0</v>
      </c>
      <c r="I36" s="2623">
        <f>I37</f>
        <v>0</v>
      </c>
      <c r="J36" s="2565"/>
      <c r="K36" s="2563" t="e">
        <f t="shared" si="3"/>
        <v>#DIV/0!</v>
      </c>
    </row>
    <row r="37" spans="1:11" ht="50.25" customHeight="1" hidden="1">
      <c r="A37" s="2132" t="s">
        <v>185</v>
      </c>
      <c r="B37" s="78" t="s">
        <v>591</v>
      </c>
      <c r="C37" s="79" t="s">
        <v>126</v>
      </c>
      <c r="D37" s="2154" t="s">
        <v>364</v>
      </c>
      <c r="E37" s="2620"/>
      <c r="F37" s="2624">
        <v>0</v>
      </c>
      <c r="G37" s="2625">
        <v>0</v>
      </c>
      <c r="H37" s="2625">
        <v>0</v>
      </c>
      <c r="I37" s="2626">
        <v>0</v>
      </c>
      <c r="J37" s="2565"/>
      <c r="K37" s="2563" t="e">
        <f t="shared" si="3"/>
        <v>#DIV/0!</v>
      </c>
    </row>
    <row r="38" spans="1:11" ht="18" customHeight="1" hidden="1">
      <c r="A38" s="2136" t="s">
        <v>616</v>
      </c>
      <c r="B38" s="404" t="s">
        <v>591</v>
      </c>
      <c r="C38" s="76" t="s">
        <v>127</v>
      </c>
      <c r="D38" s="2153" t="s">
        <v>128</v>
      </c>
      <c r="E38" s="2627"/>
      <c r="F38" s="2628">
        <f aca="true" t="shared" si="7" ref="F38:I39">F39</f>
        <v>0</v>
      </c>
      <c r="G38" s="2629">
        <f t="shared" si="7"/>
        <v>0</v>
      </c>
      <c r="H38" s="2629">
        <f t="shared" si="7"/>
        <v>0</v>
      </c>
      <c r="I38" s="2630">
        <f t="shared" si="7"/>
        <v>0</v>
      </c>
      <c r="J38" s="2565"/>
      <c r="K38" s="2563" t="e">
        <f t="shared" si="3"/>
        <v>#DIV/0!</v>
      </c>
    </row>
    <row r="39" spans="1:11" ht="41.25" customHeight="1" hidden="1">
      <c r="A39" s="2132" t="s">
        <v>621</v>
      </c>
      <c r="B39" s="78" t="s">
        <v>591</v>
      </c>
      <c r="C39" s="79" t="s">
        <v>129</v>
      </c>
      <c r="D39" s="2631" t="s">
        <v>130</v>
      </c>
      <c r="E39" s="2632"/>
      <c r="F39" s="2621">
        <f t="shared" si="7"/>
        <v>0</v>
      </c>
      <c r="G39" s="2622">
        <f t="shared" si="7"/>
        <v>0</v>
      </c>
      <c r="H39" s="2622">
        <f t="shared" si="7"/>
        <v>0</v>
      </c>
      <c r="I39" s="2623">
        <f t="shared" si="7"/>
        <v>0</v>
      </c>
      <c r="J39" s="2565"/>
      <c r="K39" s="2563" t="e">
        <f t="shared" si="3"/>
        <v>#DIV/0!</v>
      </c>
    </row>
    <row r="40" spans="1:11" ht="50.25" customHeight="1" hidden="1" thickBot="1">
      <c r="A40" s="2137" t="s">
        <v>185</v>
      </c>
      <c r="B40" s="985" t="s">
        <v>591</v>
      </c>
      <c r="C40" s="77" t="s">
        <v>131</v>
      </c>
      <c r="D40" s="2155" t="s">
        <v>365</v>
      </c>
      <c r="E40" s="2633"/>
      <c r="F40" s="2634">
        <v>0</v>
      </c>
      <c r="G40" s="2635">
        <v>0</v>
      </c>
      <c r="H40" s="2635">
        <v>0</v>
      </c>
      <c r="I40" s="2636">
        <v>0</v>
      </c>
      <c r="J40" s="2577"/>
      <c r="K40" s="2578" t="e">
        <f t="shared" si="3"/>
        <v>#DIV/0!</v>
      </c>
    </row>
    <row r="41" spans="1:11" ht="25.5" customHeight="1" hidden="1" thickBot="1">
      <c r="A41" s="2122" t="s">
        <v>614</v>
      </c>
      <c r="B41" s="2579" t="s">
        <v>154</v>
      </c>
      <c r="C41" s="2580" t="s">
        <v>802</v>
      </c>
      <c r="D41" s="2533" t="s">
        <v>911</v>
      </c>
      <c r="E41" s="2581">
        <f aca="true" t="shared" si="8" ref="E41:J42">E42</f>
        <v>900</v>
      </c>
      <c r="F41" s="2637">
        <f t="shared" si="8"/>
        <v>0</v>
      </c>
      <c r="G41" s="2638">
        <f t="shared" si="8"/>
        <v>0</v>
      </c>
      <c r="H41" s="2638">
        <f t="shared" si="8"/>
        <v>0</v>
      </c>
      <c r="I41" s="2639">
        <f t="shared" si="8"/>
        <v>0</v>
      </c>
      <c r="J41" s="2640">
        <f t="shared" si="8"/>
        <v>3782.3</v>
      </c>
      <c r="K41" s="2586">
        <f t="shared" si="3"/>
        <v>420.2555555555556</v>
      </c>
    </row>
    <row r="42" spans="1:11" ht="19.5" customHeight="1" hidden="1">
      <c r="A42" s="2138" t="s">
        <v>391</v>
      </c>
      <c r="B42" s="71" t="s">
        <v>154</v>
      </c>
      <c r="C42" s="70" t="s">
        <v>932</v>
      </c>
      <c r="D42" s="2153" t="s">
        <v>1009</v>
      </c>
      <c r="E42" s="2641">
        <f t="shared" si="8"/>
        <v>900</v>
      </c>
      <c r="F42" s="2617">
        <f t="shared" si="8"/>
        <v>0</v>
      </c>
      <c r="G42" s="2618">
        <f t="shared" si="8"/>
        <v>0</v>
      </c>
      <c r="H42" s="2618">
        <f t="shared" si="8"/>
        <v>0</v>
      </c>
      <c r="I42" s="2619">
        <f t="shared" si="8"/>
        <v>0</v>
      </c>
      <c r="J42" s="2642">
        <f t="shared" si="8"/>
        <v>3782.3</v>
      </c>
      <c r="K42" s="2592">
        <f t="shared" si="3"/>
        <v>420.2555555555556</v>
      </c>
    </row>
    <row r="43" spans="1:11" ht="39.75" customHeight="1" hidden="1">
      <c r="A43" s="506" t="s">
        <v>436</v>
      </c>
      <c r="B43" s="404" t="s">
        <v>154</v>
      </c>
      <c r="C43" s="76" t="s">
        <v>933</v>
      </c>
      <c r="D43" s="2157" t="s">
        <v>1356</v>
      </c>
      <c r="E43" s="2643">
        <f>SUM(E44:E45)</f>
        <v>900</v>
      </c>
      <c r="F43" s="2628">
        <f>SUM(F44:F45)</f>
        <v>0</v>
      </c>
      <c r="G43" s="2629">
        <f>SUM(G44:G45)</f>
        <v>0</v>
      </c>
      <c r="H43" s="2629">
        <f>SUM(H44:H45)</f>
        <v>0</v>
      </c>
      <c r="I43" s="2630">
        <f>SUM(I44:I45)</f>
        <v>0</v>
      </c>
      <c r="J43" s="2644">
        <f>J44</f>
        <v>3782.3</v>
      </c>
      <c r="K43" s="2563">
        <f t="shared" si="3"/>
        <v>420.2555555555556</v>
      </c>
    </row>
    <row r="44" spans="1:11" ht="61.5" customHeight="1" thickBot="1">
      <c r="A44" s="2139" t="s">
        <v>185</v>
      </c>
      <c r="B44" s="78" t="s">
        <v>852</v>
      </c>
      <c r="C44" s="79" t="s">
        <v>934</v>
      </c>
      <c r="D44" s="2154" t="s">
        <v>552</v>
      </c>
      <c r="E44" s="2645">
        <f>кв!D62</f>
        <v>900</v>
      </c>
      <c r="F44" s="2621">
        <v>0</v>
      </c>
      <c r="G44" s="2622">
        <v>0</v>
      </c>
      <c r="H44" s="2622">
        <v>0</v>
      </c>
      <c r="I44" s="2623">
        <v>0</v>
      </c>
      <c r="J44" s="2565">
        <v>3782.3</v>
      </c>
      <c r="K44" s="2563">
        <f t="shared" si="3"/>
        <v>420.2555555555556</v>
      </c>
    </row>
    <row r="45" spans="1:11" ht="51" customHeight="1" hidden="1" thickBot="1">
      <c r="A45" s="2137" t="s">
        <v>186</v>
      </c>
      <c r="B45" s="84" t="s">
        <v>154</v>
      </c>
      <c r="C45" s="85" t="s">
        <v>650</v>
      </c>
      <c r="D45" s="2154" t="s">
        <v>649</v>
      </c>
      <c r="E45" s="2620">
        <f>кв!D63</f>
        <v>0</v>
      </c>
      <c r="F45" s="2634">
        <v>0</v>
      </c>
      <c r="G45" s="2635">
        <v>0</v>
      </c>
      <c r="H45" s="2635">
        <v>0</v>
      </c>
      <c r="I45" s="2636">
        <v>0</v>
      </c>
      <c r="J45" s="2565"/>
      <c r="K45" s="2563" t="e">
        <f t="shared" si="3"/>
        <v>#DIV/0!</v>
      </c>
    </row>
    <row r="46" spans="1:11" ht="27" customHeight="1" hidden="1" thickBot="1">
      <c r="A46" s="2134" t="s">
        <v>296</v>
      </c>
      <c r="B46" s="2610" t="s">
        <v>154</v>
      </c>
      <c r="C46" s="2611" t="s">
        <v>117</v>
      </c>
      <c r="D46" s="86" t="s">
        <v>118</v>
      </c>
      <c r="E46" s="2612"/>
      <c r="F46" s="2613">
        <f>F47</f>
        <v>0</v>
      </c>
      <c r="G46" s="2614">
        <f>G47</f>
        <v>0</v>
      </c>
      <c r="H46" s="2614">
        <f>H47</f>
        <v>0</v>
      </c>
      <c r="I46" s="2615">
        <f>I47</f>
        <v>0</v>
      </c>
      <c r="J46" s="2565"/>
      <c r="K46" s="2563" t="e">
        <f t="shared" si="3"/>
        <v>#DIV/0!</v>
      </c>
    </row>
    <row r="47" spans="1:11" ht="50.25" customHeight="1" hidden="1">
      <c r="A47" s="2138" t="s">
        <v>199</v>
      </c>
      <c r="B47" s="71" t="s">
        <v>591</v>
      </c>
      <c r="C47" s="70" t="s">
        <v>119</v>
      </c>
      <c r="D47" s="2156" t="s">
        <v>303</v>
      </c>
      <c r="E47" s="2627"/>
      <c r="F47" s="2617">
        <f>SUM(F48:F49)</f>
        <v>0</v>
      </c>
      <c r="G47" s="2618">
        <f>SUM(G48:G49)</f>
        <v>0</v>
      </c>
      <c r="H47" s="2618">
        <f>SUM(H48:H49)</f>
        <v>0</v>
      </c>
      <c r="I47" s="2619">
        <f>SUM(I48:I49)</f>
        <v>0</v>
      </c>
      <c r="J47" s="2565"/>
      <c r="K47" s="2563" t="e">
        <f t="shared" si="3"/>
        <v>#DIV/0!</v>
      </c>
    </row>
    <row r="48" spans="1:11" ht="80.25" customHeight="1" hidden="1">
      <c r="A48" s="504" t="s">
        <v>90</v>
      </c>
      <c r="B48" s="78" t="s">
        <v>591</v>
      </c>
      <c r="C48" s="79" t="s">
        <v>120</v>
      </c>
      <c r="D48" s="2154" t="s">
        <v>623</v>
      </c>
      <c r="E48" s="2620"/>
      <c r="F48" s="2624">
        <v>0</v>
      </c>
      <c r="G48" s="2625">
        <v>0</v>
      </c>
      <c r="H48" s="2625">
        <v>0</v>
      </c>
      <c r="I48" s="2626">
        <v>0</v>
      </c>
      <c r="J48" s="2565"/>
      <c r="K48" s="2563" t="e">
        <f t="shared" si="3"/>
        <v>#DIV/0!</v>
      </c>
    </row>
    <row r="49" spans="1:11" ht="77.25" customHeight="1" hidden="1">
      <c r="A49" s="504" t="s">
        <v>200</v>
      </c>
      <c r="B49" s="78" t="s">
        <v>591</v>
      </c>
      <c r="C49" s="79" t="s">
        <v>121</v>
      </c>
      <c r="D49" s="2154" t="s">
        <v>346</v>
      </c>
      <c r="E49" s="2620"/>
      <c r="F49" s="2624">
        <v>0</v>
      </c>
      <c r="G49" s="2625">
        <v>0</v>
      </c>
      <c r="H49" s="2625">
        <v>0</v>
      </c>
      <c r="I49" s="2626">
        <v>0</v>
      </c>
      <c r="J49" s="2565"/>
      <c r="K49" s="2563" t="e">
        <f t="shared" si="3"/>
        <v>#DIV/0!</v>
      </c>
    </row>
    <row r="50" spans="1:11" ht="17.25" customHeight="1" hidden="1">
      <c r="A50" s="2123" t="s">
        <v>214</v>
      </c>
      <c r="B50" s="404" t="s">
        <v>591</v>
      </c>
      <c r="C50" s="986" t="s">
        <v>215</v>
      </c>
      <c r="D50" s="2157" t="s">
        <v>216</v>
      </c>
      <c r="E50" s="2620"/>
      <c r="F50" s="2621">
        <f>F51</f>
        <v>0</v>
      </c>
      <c r="G50" s="2622">
        <f>G51</f>
        <v>0</v>
      </c>
      <c r="H50" s="2622">
        <f>H51</f>
        <v>0</v>
      </c>
      <c r="I50" s="2623">
        <f>I51</f>
        <v>0</v>
      </c>
      <c r="J50" s="2565"/>
      <c r="K50" s="2563" t="e">
        <f t="shared" si="3"/>
        <v>#DIV/0!</v>
      </c>
    </row>
    <row r="51" spans="1:11" ht="39.75" customHeight="1" hidden="1" thickBot="1">
      <c r="A51" s="2140" t="s">
        <v>10</v>
      </c>
      <c r="B51" s="985" t="s">
        <v>591</v>
      </c>
      <c r="C51" s="77" t="s">
        <v>217</v>
      </c>
      <c r="D51" s="2155" t="s">
        <v>304</v>
      </c>
      <c r="E51" s="2646"/>
      <c r="F51" s="2634">
        <v>0</v>
      </c>
      <c r="G51" s="2635">
        <v>0</v>
      </c>
      <c r="H51" s="2635">
        <v>0</v>
      </c>
      <c r="I51" s="2636">
        <v>0</v>
      </c>
      <c r="J51" s="2577"/>
      <c r="K51" s="2578" t="e">
        <f t="shared" si="3"/>
        <v>#DIV/0!</v>
      </c>
    </row>
    <row r="52" spans="1:11" ht="18" customHeight="1" hidden="1" thickBot="1">
      <c r="A52" s="2122" t="s">
        <v>295</v>
      </c>
      <c r="B52" s="2579" t="s">
        <v>154</v>
      </c>
      <c r="C52" s="2580" t="s">
        <v>597</v>
      </c>
      <c r="D52" s="2533" t="s">
        <v>275</v>
      </c>
      <c r="E52" s="2581">
        <f>кв!D70</f>
        <v>1726.8</v>
      </c>
      <c r="F52" s="2582" t="e">
        <f>F53+F54+F56+#REF!+F60</f>
        <v>#REF!</v>
      </c>
      <c r="G52" s="2583" t="e">
        <f>G53+G54+G56+#REF!+G60</f>
        <v>#REF!</v>
      </c>
      <c r="H52" s="2583" t="e">
        <f>H53+H54+H56+#REF!+H60</f>
        <v>#REF!</v>
      </c>
      <c r="I52" s="2584" t="e">
        <f>I53+I54+I56+#REF!+I60</f>
        <v>#REF!</v>
      </c>
      <c r="J52" s="2640">
        <f>J53+J58+J60</f>
        <v>2706.9</v>
      </c>
      <c r="K52" s="2586">
        <f t="shared" si="3"/>
        <v>156.75816539263377</v>
      </c>
    </row>
    <row r="53" spans="1:11" ht="49.5" customHeight="1">
      <c r="A53" s="2138" t="s">
        <v>672</v>
      </c>
      <c r="B53" s="2553" t="s">
        <v>155</v>
      </c>
      <c r="C53" s="531" t="s">
        <v>598</v>
      </c>
      <c r="D53" s="2554" t="s">
        <v>912</v>
      </c>
      <c r="E53" s="2647">
        <f>кв!D71</f>
        <v>277</v>
      </c>
      <c r="F53" s="2648">
        <v>225</v>
      </c>
      <c r="G53" s="2649">
        <v>306</v>
      </c>
      <c r="H53" s="2649">
        <v>284</v>
      </c>
      <c r="I53" s="2650">
        <v>183</v>
      </c>
      <c r="J53" s="2651">
        <v>378.3</v>
      </c>
      <c r="K53" s="2592">
        <f t="shared" si="3"/>
        <v>136.57039711191337</v>
      </c>
    </row>
    <row r="54" spans="1:11" ht="24.75" customHeight="1" hidden="1">
      <c r="A54" s="2123" t="s">
        <v>737</v>
      </c>
      <c r="B54" s="409" t="s">
        <v>154</v>
      </c>
      <c r="C54" s="69" t="s">
        <v>202</v>
      </c>
      <c r="D54" s="67" t="s">
        <v>203</v>
      </c>
      <c r="E54" s="2652">
        <f>E55</f>
        <v>0</v>
      </c>
      <c r="F54" s="2653">
        <f>F55</f>
        <v>0</v>
      </c>
      <c r="G54" s="2654">
        <f>G55</f>
        <v>0</v>
      </c>
      <c r="H54" s="2654">
        <f>H55</f>
        <v>0</v>
      </c>
      <c r="I54" s="2655">
        <f>I55</f>
        <v>0</v>
      </c>
      <c r="J54" s="2565"/>
      <c r="K54" s="2656" t="e">
        <f t="shared" si="3"/>
        <v>#DIV/0!</v>
      </c>
    </row>
    <row r="55" spans="1:11" s="52" customFormat="1" ht="51.75" customHeight="1" hidden="1">
      <c r="A55" s="2132" t="s">
        <v>473</v>
      </c>
      <c r="B55" s="2657" t="s">
        <v>155</v>
      </c>
      <c r="C55" s="65" t="s">
        <v>204</v>
      </c>
      <c r="D55" s="2554" t="s">
        <v>305</v>
      </c>
      <c r="E55" s="2593">
        <f>кв!D73</f>
        <v>0</v>
      </c>
      <c r="F55" s="2559"/>
      <c r="G55" s="2560"/>
      <c r="H55" s="2560"/>
      <c r="I55" s="2561"/>
      <c r="J55" s="2562"/>
      <c r="K55" s="2656" t="e">
        <f t="shared" si="3"/>
        <v>#DIV/0!</v>
      </c>
    </row>
    <row r="56" spans="1:11" s="52" customFormat="1" ht="38.25" customHeight="1" hidden="1">
      <c r="A56" s="2123" t="s">
        <v>737</v>
      </c>
      <c r="B56" s="409" t="s">
        <v>154</v>
      </c>
      <c r="C56" s="69" t="s">
        <v>205</v>
      </c>
      <c r="D56" s="67" t="s">
        <v>1254</v>
      </c>
      <c r="E56" s="2652">
        <f>E57</f>
        <v>0</v>
      </c>
      <c r="F56" s="2653">
        <f>F57</f>
        <v>0</v>
      </c>
      <c r="G56" s="2654">
        <f>G57</f>
        <v>0</v>
      </c>
      <c r="H56" s="2654">
        <f>H57</f>
        <v>0</v>
      </c>
      <c r="I56" s="2655">
        <f>I57</f>
        <v>0</v>
      </c>
      <c r="J56" s="2562"/>
      <c r="K56" s="2656" t="e">
        <f t="shared" si="3"/>
        <v>#DIV/0!</v>
      </c>
    </row>
    <row r="57" spans="1:11" s="52" customFormat="1" ht="51" customHeight="1" hidden="1">
      <c r="A57" s="2480" t="s">
        <v>185</v>
      </c>
      <c r="B57" s="182" t="s">
        <v>1013</v>
      </c>
      <c r="C57" s="65" t="s">
        <v>306</v>
      </c>
      <c r="D57" s="2151" t="s">
        <v>1353</v>
      </c>
      <c r="E57" s="2658">
        <f>кв!D75</f>
        <v>0</v>
      </c>
      <c r="F57" s="2559"/>
      <c r="G57" s="2560"/>
      <c r="H57" s="2560"/>
      <c r="I57" s="2561"/>
      <c r="J57" s="2562"/>
      <c r="K57" s="2656" t="e">
        <f t="shared" si="3"/>
        <v>#DIV/0!</v>
      </c>
    </row>
    <row r="58" spans="1:11" s="52" customFormat="1" ht="54" customHeight="1" hidden="1">
      <c r="A58" s="2128" t="s">
        <v>737</v>
      </c>
      <c r="B58" s="2659" t="s">
        <v>154</v>
      </c>
      <c r="C58" s="69" t="str">
        <f>кв!B76</f>
        <v> 1 16 33000 00 0000 140</v>
      </c>
      <c r="D58" s="2660" t="str">
        <f>кв!C76</f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E58" s="2661">
        <f>кв!D76</f>
        <v>1</v>
      </c>
      <c r="F58" s="2559"/>
      <c r="G58" s="2560"/>
      <c r="H58" s="2560"/>
      <c r="I58" s="2561"/>
      <c r="J58" s="2662">
        <f>J59</f>
        <v>0</v>
      </c>
      <c r="K58" s="2603">
        <f t="shared" si="3"/>
        <v>0</v>
      </c>
    </row>
    <row r="59" spans="1:11" s="52" customFormat="1" ht="72.75" customHeight="1">
      <c r="A59" s="2481" t="s">
        <v>185</v>
      </c>
      <c r="B59" s="2663" t="str">
        <f>кв!A77</f>
        <v>874</v>
      </c>
      <c r="C59" s="65" t="str">
        <f>кв!B77</f>
        <v> 1 16 33030 03 0000 140</v>
      </c>
      <c r="D59" s="2151" t="str">
        <f>кв!C77</f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
</v>
      </c>
      <c r="E59" s="2658">
        <f>кв!D77</f>
        <v>1</v>
      </c>
      <c r="F59" s="2559"/>
      <c r="G59" s="2560"/>
      <c r="H59" s="2560"/>
      <c r="I59" s="2561"/>
      <c r="J59" s="2662">
        <v>0</v>
      </c>
      <c r="K59" s="2603">
        <f t="shared" si="3"/>
        <v>0</v>
      </c>
    </row>
    <row r="60" spans="1:11" ht="27" customHeight="1" hidden="1">
      <c r="A60" s="2141" t="s">
        <v>16</v>
      </c>
      <c r="B60" s="409" t="s">
        <v>154</v>
      </c>
      <c r="C60" s="69" t="s">
        <v>207</v>
      </c>
      <c r="D60" s="2158" t="s">
        <v>278</v>
      </c>
      <c r="E60" s="2569">
        <f aca="true" t="shared" si="9" ref="E60:J60">E61</f>
        <v>1448.8</v>
      </c>
      <c r="F60" s="2664">
        <f t="shared" si="9"/>
        <v>34</v>
      </c>
      <c r="G60" s="2665">
        <f t="shared" si="9"/>
        <v>531</v>
      </c>
      <c r="H60" s="2665">
        <f t="shared" si="9"/>
        <v>772</v>
      </c>
      <c r="I60" s="2666">
        <f t="shared" si="9"/>
        <v>451.2</v>
      </c>
      <c r="J60" s="2565">
        <f t="shared" si="9"/>
        <v>2328.6</v>
      </c>
      <c r="K60" s="2563">
        <f t="shared" si="3"/>
        <v>160.7261181667587</v>
      </c>
    </row>
    <row r="61" spans="1:11" ht="53.25" customHeight="1" hidden="1">
      <c r="A61" s="2142" t="s">
        <v>17</v>
      </c>
      <c r="B61" s="182" t="s">
        <v>154</v>
      </c>
      <c r="C61" s="65" t="s">
        <v>343</v>
      </c>
      <c r="D61" s="2151" t="str">
        <f>кв!C79</f>
        <v>Прочие  поступления от денежных взысканий (штрафов) и иных сумм в возмещение ущерба, зачисляемые  в  бюджеты внутригородских муниципальных образований городов федерального значения </v>
      </c>
      <c r="E61" s="2558">
        <f aca="true" t="shared" si="10" ref="E61:J61">SUM(E62:E67)</f>
        <v>1448.8</v>
      </c>
      <c r="F61" s="2667">
        <f t="shared" si="10"/>
        <v>34</v>
      </c>
      <c r="G61" s="2668">
        <f t="shared" si="10"/>
        <v>531</v>
      </c>
      <c r="H61" s="2668">
        <f t="shared" si="10"/>
        <v>772</v>
      </c>
      <c r="I61" s="2669">
        <f t="shared" si="10"/>
        <v>451.2</v>
      </c>
      <c r="J61" s="2565">
        <f t="shared" si="10"/>
        <v>2328.6</v>
      </c>
      <c r="K61" s="2563">
        <f t="shared" si="3"/>
        <v>160.7261181667587</v>
      </c>
    </row>
    <row r="62" spans="1:11" ht="50.25" customHeight="1">
      <c r="A62" s="508" t="s">
        <v>185</v>
      </c>
      <c r="B62" s="411" t="s">
        <v>20</v>
      </c>
      <c r="C62" s="65" t="s">
        <v>312</v>
      </c>
      <c r="D62" s="2159" t="s">
        <v>913</v>
      </c>
      <c r="E62" s="2593">
        <f>кв!D80</f>
        <v>1100</v>
      </c>
      <c r="F62" s="2566">
        <v>23</v>
      </c>
      <c r="G62" s="2567">
        <v>500</v>
      </c>
      <c r="H62" s="2567">
        <v>760</v>
      </c>
      <c r="I62" s="2568">
        <v>450</v>
      </c>
      <c r="J62" s="2670">
        <v>1550</v>
      </c>
      <c r="K62" s="2563">
        <f t="shared" si="3"/>
        <v>140.9090909090909</v>
      </c>
    </row>
    <row r="63" spans="1:11" ht="50.25" customHeight="1">
      <c r="A63" s="508" t="s">
        <v>186</v>
      </c>
      <c r="B63" s="411" t="s">
        <v>63</v>
      </c>
      <c r="C63" s="65" t="s">
        <v>312</v>
      </c>
      <c r="D63" s="2159" t="s">
        <v>913</v>
      </c>
      <c r="E63" s="2593">
        <f>кв!D81</f>
        <v>84</v>
      </c>
      <c r="F63" s="2566"/>
      <c r="G63" s="2567"/>
      <c r="H63" s="2567"/>
      <c r="I63" s="2568"/>
      <c r="J63" s="2670">
        <v>130</v>
      </c>
      <c r="K63" s="2563">
        <f t="shared" si="3"/>
        <v>154.76190476190476</v>
      </c>
    </row>
    <row r="64" spans="1:11" ht="48.75" customHeight="1">
      <c r="A64" s="508" t="s">
        <v>192</v>
      </c>
      <c r="B64" s="411" t="s">
        <v>64</v>
      </c>
      <c r="C64" s="65" t="s">
        <v>312</v>
      </c>
      <c r="D64" s="2159" t="s">
        <v>913</v>
      </c>
      <c r="E64" s="2593">
        <f>кв!D82</f>
        <v>10</v>
      </c>
      <c r="F64" s="2566"/>
      <c r="G64" s="2567"/>
      <c r="H64" s="2567"/>
      <c r="I64" s="2568"/>
      <c r="J64" s="2670">
        <v>180</v>
      </c>
      <c r="K64" s="2563">
        <f t="shared" si="3"/>
        <v>1800</v>
      </c>
    </row>
    <row r="65" spans="1:11" ht="49.5" customHeight="1" hidden="1">
      <c r="A65" s="508" t="s">
        <v>191</v>
      </c>
      <c r="B65" s="411" t="s">
        <v>65</v>
      </c>
      <c r="C65" s="65" t="s">
        <v>312</v>
      </c>
      <c r="D65" s="2159" t="s">
        <v>913</v>
      </c>
      <c r="E65" s="2593">
        <f>кв!D83</f>
        <v>0</v>
      </c>
      <c r="F65" s="2566"/>
      <c r="G65" s="2567"/>
      <c r="H65" s="2567"/>
      <c r="I65" s="2568"/>
      <c r="J65" s="2565"/>
      <c r="K65" s="2656" t="e">
        <f t="shared" si="3"/>
        <v>#DIV/0!</v>
      </c>
    </row>
    <row r="66" spans="1:11" ht="50.25" customHeight="1">
      <c r="A66" s="508" t="s">
        <v>193</v>
      </c>
      <c r="B66" s="182" t="s">
        <v>813</v>
      </c>
      <c r="C66" s="65" t="s">
        <v>312</v>
      </c>
      <c r="D66" s="2159" t="s">
        <v>913</v>
      </c>
      <c r="E66" s="2593">
        <f>кв!D84</f>
        <v>218</v>
      </c>
      <c r="F66" s="2566"/>
      <c r="G66" s="2567"/>
      <c r="H66" s="2567"/>
      <c r="I66" s="2568"/>
      <c r="J66" s="2565">
        <v>432.7</v>
      </c>
      <c r="K66" s="2563">
        <f t="shared" si="3"/>
        <v>198.48623853211006</v>
      </c>
    </row>
    <row r="67" spans="1:11" ht="51.75" customHeight="1">
      <c r="A67" s="508" t="s">
        <v>194</v>
      </c>
      <c r="B67" s="182" t="s">
        <v>813</v>
      </c>
      <c r="C67" s="65" t="s">
        <v>314</v>
      </c>
      <c r="D67" s="2159" t="s">
        <v>914</v>
      </c>
      <c r="E67" s="2593">
        <f>кв!D85</f>
        <v>36.8</v>
      </c>
      <c r="F67" s="2566">
        <v>11</v>
      </c>
      <c r="G67" s="2567">
        <v>31</v>
      </c>
      <c r="H67" s="2567">
        <v>12</v>
      </c>
      <c r="I67" s="2568">
        <v>1.2</v>
      </c>
      <c r="J67" s="2577">
        <v>35.9</v>
      </c>
      <c r="K67" s="2578">
        <f t="shared" si="3"/>
        <v>97.55434782608695</v>
      </c>
    </row>
    <row r="68" spans="1:11" ht="19.5" customHeight="1" hidden="1" thickBot="1">
      <c r="A68" s="2122" t="s">
        <v>296</v>
      </c>
      <c r="B68" s="2671" t="s">
        <v>154</v>
      </c>
      <c r="C68" s="2672" t="s">
        <v>811</v>
      </c>
      <c r="D68" s="2555" t="s">
        <v>812</v>
      </c>
      <c r="E68" s="2673">
        <f aca="true" t="shared" si="11" ref="E68:J69">E69</f>
        <v>0</v>
      </c>
      <c r="F68" s="2673">
        <f t="shared" si="11"/>
        <v>0</v>
      </c>
      <c r="G68" s="2673">
        <f t="shared" si="11"/>
        <v>0</v>
      </c>
      <c r="H68" s="2673">
        <f t="shared" si="11"/>
        <v>0</v>
      </c>
      <c r="I68" s="2673">
        <f t="shared" si="11"/>
        <v>0</v>
      </c>
      <c r="J68" s="2674">
        <f t="shared" si="11"/>
        <v>16.4</v>
      </c>
      <c r="K68" s="2675">
        <v>0</v>
      </c>
    </row>
    <row r="69" spans="1:11" ht="15.75" customHeight="1" hidden="1">
      <c r="A69" s="2138" t="s">
        <v>673</v>
      </c>
      <c r="B69" s="71" t="s">
        <v>154</v>
      </c>
      <c r="C69" s="70" t="s">
        <v>618</v>
      </c>
      <c r="D69" s="2153" t="s">
        <v>619</v>
      </c>
      <c r="E69" s="2627">
        <f t="shared" si="11"/>
        <v>0</v>
      </c>
      <c r="F69" s="2627">
        <f t="shared" si="11"/>
        <v>0</v>
      </c>
      <c r="G69" s="2627">
        <f t="shared" si="11"/>
        <v>0</v>
      </c>
      <c r="H69" s="2627">
        <f t="shared" si="11"/>
        <v>0</v>
      </c>
      <c r="I69" s="2627">
        <f t="shared" si="11"/>
        <v>0</v>
      </c>
      <c r="J69" s="2676">
        <f t="shared" si="11"/>
        <v>16.4</v>
      </c>
      <c r="K69" s="2677">
        <v>0</v>
      </c>
    </row>
    <row r="70" spans="1:11" ht="40.5" customHeight="1">
      <c r="A70" s="504" t="s">
        <v>90</v>
      </c>
      <c r="B70" s="2678" t="s">
        <v>591</v>
      </c>
      <c r="C70" s="2679" t="s">
        <v>620</v>
      </c>
      <c r="D70" s="2631" t="s">
        <v>668</v>
      </c>
      <c r="E70" s="2620">
        <f>кв!D88</f>
        <v>0</v>
      </c>
      <c r="F70" s="2621">
        <v>0</v>
      </c>
      <c r="G70" s="2622">
        <v>0</v>
      </c>
      <c r="H70" s="2622">
        <v>0</v>
      </c>
      <c r="I70" s="2623">
        <v>0</v>
      </c>
      <c r="J70" s="2565">
        <v>16.4</v>
      </c>
      <c r="K70" s="2656">
        <v>0</v>
      </c>
    </row>
    <row r="71" spans="1:11" ht="23.25" customHeight="1" hidden="1" thickBot="1">
      <c r="A71" s="2134" t="s">
        <v>371</v>
      </c>
      <c r="B71" s="2610" t="s">
        <v>154</v>
      </c>
      <c r="C71" s="2611" t="s">
        <v>800</v>
      </c>
      <c r="D71" s="86" t="s">
        <v>339</v>
      </c>
      <c r="E71" s="2612"/>
      <c r="F71" s="2613">
        <f aca="true" t="shared" si="12" ref="F71:I72">F72</f>
        <v>0</v>
      </c>
      <c r="G71" s="2614">
        <f t="shared" si="12"/>
        <v>0</v>
      </c>
      <c r="H71" s="2614">
        <f t="shared" si="12"/>
        <v>0</v>
      </c>
      <c r="I71" s="2615">
        <f t="shared" si="12"/>
        <v>0</v>
      </c>
      <c r="J71" s="2565"/>
      <c r="K71" s="2656" t="e">
        <f t="shared" si="3"/>
        <v>#DIV/0!</v>
      </c>
    </row>
    <row r="72" spans="1:11" ht="39" customHeight="1" hidden="1">
      <c r="A72" s="2136" t="s">
        <v>92</v>
      </c>
      <c r="B72" s="81" t="s">
        <v>591</v>
      </c>
      <c r="C72" s="82" t="s">
        <v>340</v>
      </c>
      <c r="D72" s="2160" t="s">
        <v>341</v>
      </c>
      <c r="E72" s="2680"/>
      <c r="F72" s="2681">
        <f t="shared" si="12"/>
        <v>0</v>
      </c>
      <c r="G72" s="2682">
        <f t="shared" si="12"/>
        <v>0</v>
      </c>
      <c r="H72" s="2682">
        <f t="shared" si="12"/>
        <v>0</v>
      </c>
      <c r="I72" s="2683">
        <f t="shared" si="12"/>
        <v>0</v>
      </c>
      <c r="J72" s="2565"/>
      <c r="K72" s="2656" t="e">
        <f t="shared" si="3"/>
        <v>#DIV/0!</v>
      </c>
    </row>
    <row r="73" spans="1:11" ht="52.5" customHeight="1" hidden="1" thickBot="1">
      <c r="A73" s="2143" t="s">
        <v>93</v>
      </c>
      <c r="B73" s="411" t="s">
        <v>591</v>
      </c>
      <c r="C73" s="2532" t="s">
        <v>511</v>
      </c>
      <c r="D73" s="2162" t="s">
        <v>342</v>
      </c>
      <c r="E73" s="2684"/>
      <c r="F73" s="2685">
        <v>0</v>
      </c>
      <c r="G73" s="2686">
        <v>0</v>
      </c>
      <c r="H73" s="2686">
        <v>0</v>
      </c>
      <c r="I73" s="2687">
        <v>0</v>
      </c>
      <c r="J73" s="2565"/>
      <c r="K73" s="2656" t="e">
        <f t="shared" si="3"/>
        <v>#DIV/0!</v>
      </c>
    </row>
    <row r="74" spans="1:11" ht="20.25" customHeight="1" hidden="1" thickBot="1">
      <c r="A74" s="2144" t="s">
        <v>608</v>
      </c>
      <c r="B74" s="2688" t="s">
        <v>154</v>
      </c>
      <c r="C74" s="2689" t="s">
        <v>599</v>
      </c>
      <c r="D74" s="2690" t="s">
        <v>279</v>
      </c>
      <c r="E74" s="2691">
        <f aca="true" t="shared" si="13" ref="E74:J74">E75</f>
        <v>15400.7</v>
      </c>
      <c r="F74" s="2691">
        <f t="shared" si="13"/>
        <v>1742.6</v>
      </c>
      <c r="G74" s="2691">
        <f t="shared" si="13"/>
        <v>3287.7</v>
      </c>
      <c r="H74" s="2691">
        <f t="shared" si="13"/>
        <v>5302.7</v>
      </c>
      <c r="I74" s="2691">
        <f t="shared" si="13"/>
        <v>1802.8</v>
      </c>
      <c r="J74" s="2692">
        <f t="shared" si="13"/>
        <v>15127.1</v>
      </c>
      <c r="K74" s="2693">
        <f t="shared" si="3"/>
        <v>98.22345737531411</v>
      </c>
    </row>
    <row r="75" spans="1:11" ht="24.75" customHeight="1" hidden="1" thickBot="1">
      <c r="A75" s="2145" t="s">
        <v>103</v>
      </c>
      <c r="B75" s="2579" t="s">
        <v>152</v>
      </c>
      <c r="C75" s="2580" t="s">
        <v>600</v>
      </c>
      <c r="D75" s="2533" t="s">
        <v>350</v>
      </c>
      <c r="E75" s="2581">
        <f aca="true" t="shared" si="14" ref="E75:J75">E76+E79</f>
        <v>15400.7</v>
      </c>
      <c r="F75" s="2581">
        <f t="shared" si="14"/>
        <v>1742.6</v>
      </c>
      <c r="G75" s="2581">
        <f t="shared" si="14"/>
        <v>3287.7</v>
      </c>
      <c r="H75" s="2581">
        <f t="shared" si="14"/>
        <v>5302.7</v>
      </c>
      <c r="I75" s="2581">
        <f t="shared" si="14"/>
        <v>1802.8</v>
      </c>
      <c r="J75" s="2596">
        <f t="shared" si="14"/>
        <v>15127.1</v>
      </c>
      <c r="K75" s="2586">
        <f t="shared" si="3"/>
        <v>98.22345737531411</v>
      </c>
    </row>
    <row r="76" spans="1:11" ht="24.75" customHeight="1" hidden="1">
      <c r="A76" s="2141" t="s">
        <v>245</v>
      </c>
      <c r="B76" s="2694" t="s">
        <v>154</v>
      </c>
      <c r="C76" s="2695" t="s">
        <v>387</v>
      </c>
      <c r="D76" s="2696" t="s">
        <v>388</v>
      </c>
      <c r="E76" s="2697">
        <f>E77</f>
        <v>0</v>
      </c>
      <c r="F76" s="2698">
        <f aca="true" t="shared" si="15" ref="F76:I77">F77</f>
        <v>0</v>
      </c>
      <c r="G76" s="2699">
        <f t="shared" si="15"/>
        <v>1500</v>
      </c>
      <c r="H76" s="2699">
        <f t="shared" si="15"/>
        <v>3500</v>
      </c>
      <c r="I76" s="2700">
        <f t="shared" si="15"/>
        <v>0</v>
      </c>
      <c r="J76" s="2701"/>
      <c r="K76" s="2702" t="e">
        <f t="shared" si="3"/>
        <v>#DIV/0!</v>
      </c>
    </row>
    <row r="77" spans="1:11" ht="15.75" customHeight="1" hidden="1">
      <c r="A77" s="497" t="s">
        <v>246</v>
      </c>
      <c r="B77" s="2556" t="s">
        <v>154</v>
      </c>
      <c r="C77" s="2703" t="s">
        <v>383</v>
      </c>
      <c r="D77" s="2557" t="s">
        <v>384</v>
      </c>
      <c r="E77" s="2704">
        <f>E78</f>
        <v>0</v>
      </c>
      <c r="F77" s="2705">
        <f t="shared" si="15"/>
        <v>0</v>
      </c>
      <c r="G77" s="2706">
        <f t="shared" si="15"/>
        <v>1500</v>
      </c>
      <c r="H77" s="2706">
        <f t="shared" si="15"/>
        <v>3500</v>
      </c>
      <c r="I77" s="2707">
        <f t="shared" si="15"/>
        <v>0</v>
      </c>
      <c r="J77" s="2708"/>
      <c r="K77" s="2709" t="e">
        <f t="shared" si="3"/>
        <v>#DIV/0!</v>
      </c>
    </row>
    <row r="78" spans="1:11" ht="37.5" customHeight="1" hidden="1">
      <c r="A78" s="497" t="s">
        <v>247</v>
      </c>
      <c r="B78" s="2556" t="s">
        <v>591</v>
      </c>
      <c r="C78" s="2703" t="s">
        <v>385</v>
      </c>
      <c r="D78" s="2557" t="s">
        <v>386</v>
      </c>
      <c r="E78" s="2704">
        <f>кв!D99</f>
        <v>0</v>
      </c>
      <c r="F78" s="2705">
        <v>0</v>
      </c>
      <c r="G78" s="2706">
        <v>1500</v>
      </c>
      <c r="H78" s="2706">
        <v>3500</v>
      </c>
      <c r="I78" s="2707">
        <v>0</v>
      </c>
      <c r="J78" s="2708"/>
      <c r="K78" s="2709" t="e">
        <f t="shared" si="3"/>
        <v>#DIV/0!</v>
      </c>
    </row>
    <row r="79" spans="1:11" ht="27" customHeight="1" hidden="1">
      <c r="A79" s="2146" t="s">
        <v>548</v>
      </c>
      <c r="B79" s="2556" t="s">
        <v>154</v>
      </c>
      <c r="C79" s="2710" t="s">
        <v>351</v>
      </c>
      <c r="D79" s="2557" t="s">
        <v>352</v>
      </c>
      <c r="E79" s="2704">
        <f aca="true" t="shared" si="16" ref="E79:J79">E80+E84</f>
        <v>15400.7</v>
      </c>
      <c r="F79" s="2704">
        <f t="shared" si="16"/>
        <v>1742.6</v>
      </c>
      <c r="G79" s="2704">
        <f t="shared" si="16"/>
        <v>1787.7</v>
      </c>
      <c r="H79" s="2704">
        <f t="shared" si="16"/>
        <v>1802.7</v>
      </c>
      <c r="I79" s="2704">
        <f t="shared" si="16"/>
        <v>1802.8</v>
      </c>
      <c r="J79" s="2711">
        <f t="shared" si="16"/>
        <v>15127.1</v>
      </c>
      <c r="K79" s="2709">
        <f t="shared" si="3"/>
        <v>98.22345737531411</v>
      </c>
    </row>
    <row r="80" spans="1:11" ht="27.75" customHeight="1" hidden="1">
      <c r="A80" s="2147" t="s">
        <v>182</v>
      </c>
      <c r="B80" s="2712" t="s">
        <v>154</v>
      </c>
      <c r="C80" s="2713" t="s">
        <v>353</v>
      </c>
      <c r="D80" s="2714" t="s">
        <v>553</v>
      </c>
      <c r="E80" s="2715">
        <f aca="true" t="shared" si="17" ref="E80:J80">E81</f>
        <v>3729.6</v>
      </c>
      <c r="F80" s="2715">
        <f t="shared" si="17"/>
        <v>0</v>
      </c>
      <c r="G80" s="2715">
        <f t="shared" si="17"/>
        <v>0</v>
      </c>
      <c r="H80" s="2715">
        <f t="shared" si="17"/>
        <v>0</v>
      </c>
      <c r="I80" s="2715">
        <f t="shared" si="17"/>
        <v>0</v>
      </c>
      <c r="J80" s="2716">
        <f t="shared" si="17"/>
        <v>3665.6</v>
      </c>
      <c r="K80" s="2717">
        <f aca="true" t="shared" si="18" ref="K80:K92">J80/E80%</f>
        <v>98.28399828399829</v>
      </c>
    </row>
    <row r="81" spans="1:11" ht="43.5" customHeight="1" hidden="1">
      <c r="A81" s="2124" t="s">
        <v>183</v>
      </c>
      <c r="B81" s="984" t="s">
        <v>154</v>
      </c>
      <c r="C81" s="2718" t="s">
        <v>547</v>
      </c>
      <c r="D81" s="2719" t="str">
        <f>кв!C102</f>
        <v>Субвенции  бюджетам   внутригородских муниципальных   образований городов федерального значения на выполнение передаваемых   полномочий   субъектов Российской Федерации                                </v>
      </c>
      <c r="E81" s="2643">
        <f>SUM(E82:E83)</f>
        <v>3729.6</v>
      </c>
      <c r="F81" s="2628"/>
      <c r="G81" s="2629"/>
      <c r="H81" s="2629"/>
      <c r="I81" s="2630"/>
      <c r="J81" s="2565">
        <f>SUM(J82:J83)</f>
        <v>3665.6</v>
      </c>
      <c r="K81" s="2563">
        <f t="shared" si="18"/>
        <v>98.28399828399829</v>
      </c>
    </row>
    <row r="82" spans="1:11" ht="54" customHeight="1">
      <c r="A82" s="497" t="s">
        <v>185</v>
      </c>
      <c r="B82" s="182" t="s">
        <v>591</v>
      </c>
      <c r="C82" s="185" t="s">
        <v>815</v>
      </c>
      <c r="D82" s="2151" t="s">
        <v>39</v>
      </c>
      <c r="E82" s="2720">
        <f>кв!D103</f>
        <v>3724</v>
      </c>
      <c r="F82" s="2721">
        <v>435.6</v>
      </c>
      <c r="G82" s="2722">
        <v>419.4</v>
      </c>
      <c r="H82" s="2722">
        <v>419.5</v>
      </c>
      <c r="I82" s="2723">
        <v>419.5</v>
      </c>
      <c r="J82" s="2565">
        <v>3660</v>
      </c>
      <c r="K82" s="2563">
        <f t="shared" si="18"/>
        <v>98.28141783029001</v>
      </c>
    </row>
    <row r="83" spans="1:11" ht="85.5" customHeight="1">
      <c r="A83" s="497" t="s">
        <v>186</v>
      </c>
      <c r="B83" s="182" t="s">
        <v>591</v>
      </c>
      <c r="C83" s="185" t="s">
        <v>816</v>
      </c>
      <c r="D83" s="2151" t="s">
        <v>22</v>
      </c>
      <c r="E83" s="2720">
        <f>кв!D104</f>
        <v>5.6</v>
      </c>
      <c r="F83" s="2721"/>
      <c r="G83" s="2722"/>
      <c r="H83" s="2722"/>
      <c r="I83" s="2723"/>
      <c r="J83" s="2565">
        <v>5.6</v>
      </c>
      <c r="K83" s="2563">
        <f t="shared" si="18"/>
        <v>100</v>
      </c>
    </row>
    <row r="84" spans="1:11" ht="45" customHeight="1" hidden="1">
      <c r="A84" s="2147" t="s">
        <v>374</v>
      </c>
      <c r="B84" s="2712" t="s">
        <v>154</v>
      </c>
      <c r="C84" s="2713" t="s">
        <v>711</v>
      </c>
      <c r="D84" s="2714" t="str">
        <f>кв!C105</f>
        <v>Субвенции бюджетам  муниципальных образований на содержание ребенка в семье опекуна и приемной семье ,а также  вознаграждение, причитающееся приемному родителю </v>
      </c>
      <c r="E84" s="2724">
        <f aca="true" t="shared" si="19" ref="E84:J84">E85</f>
        <v>11671.1</v>
      </c>
      <c r="F84" s="2725">
        <f t="shared" si="19"/>
        <v>1742.6</v>
      </c>
      <c r="G84" s="2726">
        <f t="shared" si="19"/>
        <v>1787.7</v>
      </c>
      <c r="H84" s="2726">
        <f t="shared" si="19"/>
        <v>1802.7</v>
      </c>
      <c r="I84" s="2727">
        <f t="shared" si="19"/>
        <v>1802.8</v>
      </c>
      <c r="J84" s="2728">
        <f t="shared" si="19"/>
        <v>11461.5</v>
      </c>
      <c r="K84" s="2717">
        <f t="shared" si="18"/>
        <v>98.20411100924505</v>
      </c>
    </row>
    <row r="85" spans="1:11" ht="54.75" customHeight="1" hidden="1">
      <c r="A85" s="2124" t="s">
        <v>549</v>
      </c>
      <c r="B85" s="984" t="s">
        <v>154</v>
      </c>
      <c r="C85" s="2718" t="s">
        <v>712</v>
      </c>
      <c r="D85" s="2150" t="str">
        <f>кв!C106</f>
        <v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 вознаграждение, причитающееся приемному родителю </v>
      </c>
      <c r="E85" s="2643">
        <f aca="true" t="shared" si="20" ref="E85:J85">SUM(E86:E87)</f>
        <v>11671.1</v>
      </c>
      <c r="F85" s="2721">
        <f t="shared" si="20"/>
        <v>1742.6</v>
      </c>
      <c r="G85" s="2722">
        <f t="shared" si="20"/>
        <v>1787.7</v>
      </c>
      <c r="H85" s="2722">
        <f t="shared" si="20"/>
        <v>1802.7</v>
      </c>
      <c r="I85" s="2723">
        <f t="shared" si="20"/>
        <v>1802.8</v>
      </c>
      <c r="J85" s="2565">
        <f t="shared" si="20"/>
        <v>11461.5</v>
      </c>
      <c r="K85" s="2563">
        <f t="shared" si="18"/>
        <v>98.20411100924505</v>
      </c>
    </row>
    <row r="86" spans="1:11" ht="37.5" customHeight="1">
      <c r="A86" s="2132" t="s">
        <v>185</v>
      </c>
      <c r="B86" s="182" t="s">
        <v>591</v>
      </c>
      <c r="C86" s="185" t="s">
        <v>422</v>
      </c>
      <c r="D86" s="2151" t="s">
        <v>23</v>
      </c>
      <c r="E86" s="2645">
        <f>кв!D107</f>
        <v>8777.5</v>
      </c>
      <c r="F86" s="2729">
        <v>1470</v>
      </c>
      <c r="G86" s="2730">
        <v>1500</v>
      </c>
      <c r="H86" s="2730">
        <v>1515</v>
      </c>
      <c r="I86" s="2731">
        <v>1515</v>
      </c>
      <c r="J86" s="2565">
        <v>8696.2</v>
      </c>
      <c r="K86" s="2563">
        <f t="shared" si="18"/>
        <v>99.07376815722017</v>
      </c>
    </row>
    <row r="87" spans="1:11" ht="39" customHeight="1" thickBot="1">
      <c r="A87" s="2140" t="s">
        <v>186</v>
      </c>
      <c r="B87" s="186" t="s">
        <v>591</v>
      </c>
      <c r="C87" s="187" t="s">
        <v>423</v>
      </c>
      <c r="D87" s="2161" t="s">
        <v>545</v>
      </c>
      <c r="E87" s="2732">
        <f>кв!D108</f>
        <v>2893.6000000000004</v>
      </c>
      <c r="F87" s="2621">
        <v>272.6</v>
      </c>
      <c r="G87" s="2622">
        <v>287.7</v>
      </c>
      <c r="H87" s="2622">
        <v>287.7</v>
      </c>
      <c r="I87" s="2623">
        <v>287.8</v>
      </c>
      <c r="J87" s="2565">
        <v>2765.3</v>
      </c>
      <c r="K87" s="2733">
        <f t="shared" si="18"/>
        <v>95.56607685927564</v>
      </c>
    </row>
    <row r="88" spans="1:11" ht="15.75" customHeight="1" hidden="1">
      <c r="A88" s="2148"/>
      <c r="B88" s="177"/>
      <c r="C88" s="66"/>
      <c r="D88" s="1679"/>
      <c r="E88" s="2508"/>
      <c r="F88" s="2509"/>
      <c r="G88" s="2510"/>
      <c r="H88" s="2510"/>
      <c r="I88" s="2511"/>
      <c r="J88" s="2492"/>
      <c r="K88" s="2536" t="e">
        <f t="shared" si="18"/>
        <v>#DIV/0!</v>
      </c>
    </row>
    <row r="89" spans="1:11" ht="24.75" customHeight="1" hidden="1" thickBot="1">
      <c r="A89" s="2149"/>
      <c r="B89" s="20"/>
      <c r="C89" s="62"/>
      <c r="D89" s="2162"/>
      <c r="E89" s="2504"/>
      <c r="F89" s="2505"/>
      <c r="G89" s="2506"/>
      <c r="H89" s="2506"/>
      <c r="I89" s="2507"/>
      <c r="J89" s="2519"/>
      <c r="K89" s="2535" t="e">
        <f t="shared" si="18"/>
        <v>#DIV/0!</v>
      </c>
    </row>
    <row r="90" spans="1:11" ht="19.5" thickBot="1">
      <c r="A90" s="17"/>
      <c r="B90" s="17"/>
      <c r="C90" s="2517"/>
      <c r="D90" s="2518" t="s">
        <v>389</v>
      </c>
      <c r="E90" s="2516">
        <f aca="true" t="shared" si="21" ref="E90:J90">E10+E74</f>
        <v>121000</v>
      </c>
      <c r="F90" s="2516" t="e">
        <f t="shared" si="21"/>
        <v>#REF!</v>
      </c>
      <c r="G90" s="2516" t="e">
        <f t="shared" si="21"/>
        <v>#REF!</v>
      </c>
      <c r="H90" s="2516" t="e">
        <f t="shared" si="21"/>
        <v>#REF!</v>
      </c>
      <c r="I90" s="2516" t="e">
        <f t="shared" si="21"/>
        <v>#REF!</v>
      </c>
      <c r="J90" s="2516">
        <f t="shared" si="21"/>
        <v>126905.10000000002</v>
      </c>
      <c r="K90" s="2521">
        <f t="shared" si="18"/>
        <v>104.88024793388432</v>
      </c>
    </row>
    <row r="91" spans="1:11" ht="16.5" customHeight="1" hidden="1" thickBot="1">
      <c r="A91" s="117"/>
      <c r="B91" s="118"/>
      <c r="C91" s="2164"/>
      <c r="D91" s="188" t="s">
        <v>390</v>
      </c>
      <c r="E91" s="195">
        <f>кв!D110</f>
        <v>0</v>
      </c>
      <c r="F91" s="194" t="e">
        <f>'ИФ.Пр.4'!#REF!</f>
        <v>#REF!</v>
      </c>
      <c r="G91" s="190" t="e">
        <f>'ИФ.Пр.4'!#REF!</f>
        <v>#REF!</v>
      </c>
      <c r="H91" s="190" t="e">
        <f>'ИФ.Пр.4'!#REF!</f>
        <v>#REF!</v>
      </c>
      <c r="I91" s="196" t="e">
        <f>'ИФ.Пр.4'!#REF!</f>
        <v>#REF!</v>
      </c>
      <c r="K91" s="2520" t="e">
        <f t="shared" si="18"/>
        <v>#DIV/0!</v>
      </c>
    </row>
    <row r="92" spans="1:11" ht="16.5" customHeight="1" hidden="1" thickBot="1">
      <c r="A92" s="88"/>
      <c r="B92" s="36"/>
      <c r="C92" s="36"/>
      <c r="D92" s="189" t="s">
        <v>769</v>
      </c>
      <c r="E92" s="178">
        <f>E90+E91</f>
        <v>121000</v>
      </c>
      <c r="F92" s="191" t="e">
        <f>'ВЕД.СТ Пр.2.'!L20</f>
        <v>#REF!</v>
      </c>
      <c r="G92" s="192" t="e">
        <f>'ВЕД.СТ Пр.2.'!M20</f>
        <v>#REF!</v>
      </c>
      <c r="H92" s="192" t="e">
        <f>'ВЕД.СТ Пр.2.'!N20</f>
        <v>#REF!</v>
      </c>
      <c r="I92" s="193" t="e">
        <f>'ВЕД.СТ Пр.2.'!O20</f>
        <v>#REF!</v>
      </c>
      <c r="K92" s="2502">
        <f t="shared" si="18"/>
        <v>0</v>
      </c>
    </row>
    <row r="93" spans="1:3" ht="14.25">
      <c r="A93" s="15"/>
      <c r="B93" s="15"/>
      <c r="C93" s="15"/>
    </row>
    <row r="94" spans="1:4" ht="15" hidden="1">
      <c r="A94" s="37"/>
      <c r="B94" s="37"/>
      <c r="C94" s="37"/>
      <c r="D94" s="277">
        <f>кв!D110</f>
        <v>0</v>
      </c>
    </row>
  </sheetData>
  <sheetProtection/>
  <mergeCells count="19">
    <mergeCell ref="C8:C9"/>
    <mergeCell ref="G8:G9"/>
    <mergeCell ref="I8:I9"/>
    <mergeCell ref="A1:C1"/>
    <mergeCell ref="D1:K1"/>
    <mergeCell ref="D2:K2"/>
    <mergeCell ref="D3:K3"/>
    <mergeCell ref="A4:K4"/>
    <mergeCell ref="A6:K6"/>
    <mergeCell ref="A5:K5"/>
    <mergeCell ref="B7:C7"/>
    <mergeCell ref="D7:D9"/>
    <mergeCell ref="E7:E9"/>
    <mergeCell ref="J7:J9"/>
    <mergeCell ref="K7:K9"/>
    <mergeCell ref="F8:F9"/>
    <mergeCell ref="H8:H9"/>
    <mergeCell ref="A8:A9"/>
    <mergeCell ref="B8:B9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2"/>
  <sheetViews>
    <sheetView view="pageBreakPreview" zoomScaleSheetLayoutView="100" zoomScalePageLayoutView="0" workbookViewId="0" topLeftCell="B11">
      <selection activeCell="B19" sqref="B19:I19"/>
    </sheetView>
  </sheetViews>
  <sheetFormatPr defaultColWidth="9.00390625" defaultRowHeight="12.75"/>
  <cols>
    <col min="1" max="1" width="7.75390625" style="0" hidden="1" customWidth="1"/>
    <col min="2" max="2" width="7.00390625" style="1177" customWidth="1"/>
    <col min="3" max="3" width="54.125" style="0" customWidth="1"/>
    <col min="4" max="4" width="6.25390625" style="0" customWidth="1"/>
    <col min="5" max="5" width="6.75390625" style="0" customWidth="1"/>
    <col min="6" max="6" width="9.125" style="0" customWidth="1"/>
    <col min="7" max="7" width="5.25390625" style="0" customWidth="1"/>
    <col min="8" max="8" width="8.625" style="0" hidden="1" customWidth="1"/>
    <col min="9" max="9" width="8.375" style="0" customWidth="1"/>
    <col min="10" max="10" width="7.125" style="0" hidden="1" customWidth="1"/>
    <col min="11" max="11" width="8.375" style="0" hidden="1" customWidth="1"/>
    <col min="12" max="12" width="9.25390625" style="0" hidden="1" customWidth="1"/>
    <col min="13" max="13" width="8.00390625" style="0" hidden="1" customWidth="1"/>
    <col min="14" max="14" width="0" style="0" hidden="1" customWidth="1"/>
  </cols>
  <sheetData>
    <row r="1" spans="2:13" ht="15.75" customHeight="1">
      <c r="B1" s="3156" t="s">
        <v>1237</v>
      </c>
      <c r="C1" s="3157"/>
      <c r="D1" s="3157"/>
      <c r="E1" s="3157"/>
      <c r="F1" s="3157"/>
      <c r="G1" s="3157"/>
      <c r="H1" s="3157"/>
      <c r="I1" s="3157"/>
      <c r="J1" s="16"/>
      <c r="K1" s="16"/>
      <c r="L1" s="16"/>
      <c r="M1" s="16"/>
    </row>
    <row r="2" spans="2:13" ht="13.5" customHeight="1">
      <c r="B2" s="3152" t="str">
        <f>'Бюд.р.'!D119</f>
        <v>№ 02-03-01 от 12.01.2015</v>
      </c>
      <c r="C2" s="3152"/>
      <c r="D2" s="3152"/>
      <c r="E2" s="3152"/>
      <c r="F2" s="3152"/>
      <c r="G2" s="3152"/>
      <c r="H2" s="3152"/>
      <c r="I2" s="3152"/>
      <c r="J2" s="16"/>
      <c r="K2" s="16"/>
      <c r="L2" s="16"/>
      <c r="M2" s="16"/>
    </row>
    <row r="3" spans="2:13" ht="12.75" customHeight="1">
      <c r="B3" s="3152" t="str">
        <f>'Бюд.р.'!D120</f>
        <v>№ 02-03-02 от 14.01.2015</v>
      </c>
      <c r="C3" s="3152"/>
      <c r="D3" s="3152"/>
      <c r="E3" s="3152"/>
      <c r="F3" s="3152"/>
      <c r="G3" s="3152"/>
      <c r="H3" s="3152"/>
      <c r="I3" s="3152"/>
      <c r="J3" s="16"/>
      <c r="K3" s="16"/>
      <c r="L3" s="16"/>
      <c r="M3" s="16"/>
    </row>
    <row r="4" spans="2:13" ht="12" customHeight="1">
      <c r="B4" s="3152" t="str">
        <f>'Бюд.р.'!D121</f>
        <v>№ 02-03-03 от 30.01.2015</v>
      </c>
      <c r="C4" s="3152"/>
      <c r="D4" s="3152"/>
      <c r="E4" s="3152"/>
      <c r="F4" s="3152"/>
      <c r="G4" s="3152"/>
      <c r="H4" s="3152"/>
      <c r="I4" s="3152"/>
      <c r="J4" s="16"/>
      <c r="K4" s="16"/>
      <c r="L4" s="16"/>
      <c r="M4" s="16"/>
    </row>
    <row r="5" spans="2:13" ht="12" customHeight="1">
      <c r="B5" s="3152" t="str">
        <f>'Бюд.р.'!D122</f>
        <v>№ 02-03-04 от 18.02.2015</v>
      </c>
      <c r="C5" s="3152"/>
      <c r="D5" s="3152"/>
      <c r="E5" s="3152"/>
      <c r="F5" s="3152"/>
      <c r="G5" s="3152"/>
      <c r="H5" s="3152"/>
      <c r="I5" s="3152"/>
      <c r="J5" s="16"/>
      <c r="K5" s="16"/>
      <c r="L5" s="16"/>
      <c r="M5" s="16"/>
    </row>
    <row r="6" spans="2:13" ht="11.25" customHeight="1">
      <c r="B6" s="3152" t="str">
        <f>'Бюд.р.'!D123</f>
        <v>№ 02-03-05 от 24.02.2015</v>
      </c>
      <c r="C6" s="3152"/>
      <c r="D6" s="3152"/>
      <c r="E6" s="3152"/>
      <c r="F6" s="3152"/>
      <c r="G6" s="3152"/>
      <c r="H6" s="3152"/>
      <c r="I6" s="3152"/>
      <c r="J6" s="16"/>
      <c r="K6" s="16"/>
      <c r="L6" s="16"/>
      <c r="M6" s="16"/>
    </row>
    <row r="7" spans="2:13" ht="12" customHeight="1">
      <c r="B7" s="3152" t="str">
        <f>'Бюд.р.'!D124</f>
        <v>№ 02-03-06 от 10.03.2015</v>
      </c>
      <c r="C7" s="3152"/>
      <c r="D7" s="3152"/>
      <c r="E7" s="3152"/>
      <c r="F7" s="3152"/>
      <c r="G7" s="3152"/>
      <c r="H7" s="3152"/>
      <c r="I7" s="3152"/>
      <c r="J7" s="16"/>
      <c r="K7" s="16"/>
      <c r="L7" s="16"/>
      <c r="M7" s="16"/>
    </row>
    <row r="8" spans="2:13" ht="11.25" customHeight="1">
      <c r="B8" s="3152" t="str">
        <f>'Бюд.р.'!D125</f>
        <v>№ 02-03-07 от 25.03.2015</v>
      </c>
      <c r="C8" s="3152"/>
      <c r="D8" s="3152"/>
      <c r="E8" s="3152"/>
      <c r="F8" s="3152"/>
      <c r="G8" s="3152"/>
      <c r="H8" s="3152"/>
      <c r="I8" s="3152"/>
      <c r="J8" s="16"/>
      <c r="K8" s="16"/>
      <c r="L8" s="16"/>
      <c r="M8" s="16"/>
    </row>
    <row r="9" spans="2:13" ht="11.25" customHeight="1">
      <c r="B9" s="3152" t="str">
        <f>'Бюд.р.'!D126</f>
        <v>№ 02-03-08 от 21.04.2015</v>
      </c>
      <c r="C9" s="3152"/>
      <c r="D9" s="3152"/>
      <c r="E9" s="3152"/>
      <c r="F9" s="3152"/>
      <c r="G9" s="3152"/>
      <c r="H9" s="3152"/>
      <c r="I9" s="3152"/>
      <c r="J9" s="16"/>
      <c r="K9" s="16"/>
      <c r="L9" s="16"/>
      <c r="M9" s="16"/>
    </row>
    <row r="10" spans="2:13" ht="11.25" customHeight="1">
      <c r="B10" s="3152" t="str">
        <f>'Бюд.р.'!D127</f>
        <v>№ 02-03-09 от 29.04.2015</v>
      </c>
      <c r="C10" s="3152"/>
      <c r="D10" s="3152"/>
      <c r="E10" s="3152"/>
      <c r="F10" s="3152"/>
      <c r="G10" s="3152"/>
      <c r="H10" s="3152"/>
      <c r="I10" s="3152"/>
      <c r="J10" s="16"/>
      <c r="K10" s="16"/>
      <c r="L10" s="16"/>
      <c r="M10" s="16"/>
    </row>
    <row r="11" spans="2:13" ht="11.25" customHeight="1">
      <c r="B11" s="3152" t="str">
        <f>'Бюд.р.'!D128</f>
        <v>№ 02-03-10 от 21.05.2015</v>
      </c>
      <c r="C11" s="3152"/>
      <c r="D11" s="3152"/>
      <c r="E11" s="3152"/>
      <c r="F11" s="3152"/>
      <c r="G11" s="3152"/>
      <c r="H11" s="3152"/>
      <c r="I11" s="3152"/>
      <c r="J11" s="16"/>
      <c r="K11" s="16"/>
      <c r="L11" s="16"/>
      <c r="M11" s="16"/>
    </row>
    <row r="12" spans="2:13" ht="11.25" customHeight="1">
      <c r="B12" s="3152" t="str">
        <f>'Бюд.р.'!D129</f>
        <v>№ 02-03-11 от 24.06.2015</v>
      </c>
      <c r="C12" s="3152"/>
      <c r="D12" s="3152"/>
      <c r="E12" s="3152"/>
      <c r="F12" s="3152"/>
      <c r="G12" s="3152"/>
      <c r="H12" s="3152"/>
      <c r="I12" s="3152"/>
      <c r="J12" s="16"/>
      <c r="K12" s="16"/>
      <c r="L12" s="16"/>
      <c r="M12" s="16"/>
    </row>
    <row r="13" spans="2:13" ht="11.25" customHeight="1">
      <c r="B13" s="3152" t="str">
        <f>'Бюд.р.'!D130</f>
        <v>№ 02-03-12 от 24.07.2015</v>
      </c>
      <c r="C13" s="3152"/>
      <c r="D13" s="3152"/>
      <c r="E13" s="3152"/>
      <c r="F13" s="3152"/>
      <c r="G13" s="3152"/>
      <c r="H13" s="3152"/>
      <c r="I13" s="3152"/>
      <c r="J13" s="16"/>
      <c r="K13" s="16"/>
      <c r="L13" s="16"/>
      <c r="M13" s="16"/>
    </row>
    <row r="14" spans="2:13" ht="11.25" customHeight="1">
      <c r="B14" s="3152" t="str">
        <f>'Бюд.р.'!D131</f>
        <v>№ 02-03-13 от 19.08.2015</v>
      </c>
      <c r="C14" s="3152"/>
      <c r="D14" s="3152"/>
      <c r="E14" s="3152"/>
      <c r="F14" s="3152"/>
      <c r="G14" s="3152"/>
      <c r="H14" s="3152"/>
      <c r="I14" s="3152"/>
      <c r="J14" s="16"/>
      <c r="K14" s="16"/>
      <c r="L14" s="16"/>
      <c r="M14" s="16"/>
    </row>
    <row r="15" spans="2:13" ht="11.25" customHeight="1">
      <c r="B15" s="3152" t="str">
        <f>'Бюд.р.'!D132</f>
        <v>№ 02-03-14 от 31.08.2015</v>
      </c>
      <c r="C15" s="3152"/>
      <c r="D15" s="3152"/>
      <c r="E15" s="3152"/>
      <c r="F15" s="3152"/>
      <c r="G15" s="3152"/>
      <c r="H15" s="3152"/>
      <c r="I15" s="3152"/>
      <c r="J15" s="16"/>
      <c r="K15" s="16"/>
      <c r="L15" s="16"/>
      <c r="M15" s="16"/>
    </row>
    <row r="16" spans="2:13" ht="11.25" customHeight="1">
      <c r="B16" s="3152" t="str">
        <f>'Бюд.р.'!D133</f>
        <v>№ 02-03-15 от 30.09.2015</v>
      </c>
      <c r="C16" s="3152"/>
      <c r="D16" s="3152"/>
      <c r="E16" s="3152"/>
      <c r="F16" s="3152"/>
      <c r="G16" s="3152"/>
      <c r="H16" s="3152"/>
      <c r="I16" s="3152"/>
      <c r="J16" s="16"/>
      <c r="K16" s="16"/>
      <c r="L16" s="16"/>
      <c r="M16" s="16"/>
    </row>
    <row r="17" spans="2:13" ht="11.25" customHeight="1">
      <c r="B17" s="3152" t="str">
        <f>'Бюд.р.'!D134</f>
        <v>№ 02-03-16 от 14.10.2015</v>
      </c>
      <c r="C17" s="3152"/>
      <c r="D17" s="3152"/>
      <c r="E17" s="3152"/>
      <c r="F17" s="3152"/>
      <c r="G17" s="3152"/>
      <c r="H17" s="3152"/>
      <c r="I17" s="3152"/>
      <c r="J17" s="16"/>
      <c r="K17" s="16"/>
      <c r="L17" s="16"/>
      <c r="M17" s="16"/>
    </row>
    <row r="18" spans="2:13" ht="11.25" customHeight="1">
      <c r="B18" s="3152" t="str">
        <f>'Бюд.р.'!D135</f>
        <v>№ 02-03-17 от 28.10.2015</v>
      </c>
      <c r="C18" s="3152"/>
      <c r="D18" s="3152"/>
      <c r="E18" s="3152"/>
      <c r="F18" s="3152"/>
      <c r="G18" s="3152"/>
      <c r="H18" s="3152"/>
      <c r="I18" s="3152"/>
      <c r="J18" s="16"/>
      <c r="K18" s="16"/>
      <c r="L18" s="16"/>
      <c r="M18" s="16"/>
    </row>
    <row r="19" spans="2:13" ht="11.25" customHeight="1">
      <c r="B19" s="3152" t="str">
        <f>'Бюд.р.'!D139</f>
        <v>№ 02-03-22 от 23.12.2015</v>
      </c>
      <c r="C19" s="3152"/>
      <c r="D19" s="3152"/>
      <c r="E19" s="3152"/>
      <c r="F19" s="3152"/>
      <c r="G19" s="3152"/>
      <c r="H19" s="3152"/>
      <c r="I19" s="3152"/>
      <c r="J19" s="16"/>
      <c r="K19" s="16"/>
      <c r="L19" s="16"/>
      <c r="M19" s="16"/>
    </row>
    <row r="20" spans="1:13" ht="17.25" customHeight="1">
      <c r="A20" s="122"/>
      <c r="B20" s="3116" t="s">
        <v>1238</v>
      </c>
      <c r="C20" s="3116"/>
      <c r="D20" s="3116"/>
      <c r="E20" s="3116"/>
      <c r="F20" s="3116"/>
      <c r="G20" s="3116"/>
      <c r="H20" s="3116"/>
      <c r="I20" s="3116"/>
      <c r="J20" s="122"/>
      <c r="K20" s="122"/>
      <c r="L20" s="122"/>
      <c r="M20" s="122"/>
    </row>
    <row r="21" spans="1:13" ht="15.75" customHeight="1">
      <c r="A21" s="122"/>
      <c r="B21" s="3121" t="s">
        <v>1328</v>
      </c>
      <c r="C21" s="3121"/>
      <c r="D21" s="3121"/>
      <c r="E21" s="3121"/>
      <c r="F21" s="3121"/>
      <c r="G21" s="3121"/>
      <c r="H21" s="3121"/>
      <c r="I21" s="3121"/>
      <c r="J21" s="122"/>
      <c r="K21" s="122"/>
      <c r="L21" s="122"/>
      <c r="M21" s="122"/>
    </row>
    <row r="22" spans="1:13" ht="12.75" customHeight="1" thickBot="1">
      <c r="A22" s="122"/>
      <c r="B22" s="122"/>
      <c r="C22" s="3154" t="s">
        <v>218</v>
      </c>
      <c r="D22" s="3154"/>
      <c r="E22" s="3154"/>
      <c r="F22" s="3154"/>
      <c r="G22" s="3154"/>
      <c r="H22" s="3154"/>
      <c r="I22" s="3154"/>
      <c r="J22" s="271"/>
      <c r="K22" s="271"/>
      <c r="L22" s="271"/>
      <c r="M22" s="271"/>
    </row>
    <row r="23" spans="1:13" ht="49.5" thickBot="1">
      <c r="A23" s="57" t="s">
        <v>99</v>
      </c>
      <c r="B23" s="1894" t="s">
        <v>794</v>
      </c>
      <c r="C23" s="1942" t="s">
        <v>219</v>
      </c>
      <c r="D23" s="1916" t="s">
        <v>444</v>
      </c>
      <c r="E23" s="1893" t="s">
        <v>232</v>
      </c>
      <c r="F23" s="1893" t="s">
        <v>230</v>
      </c>
      <c r="G23" s="1893" t="s">
        <v>101</v>
      </c>
      <c r="H23" s="1974" t="s">
        <v>231</v>
      </c>
      <c r="I23" s="2005" t="s">
        <v>268</v>
      </c>
      <c r="J23" s="203" t="s">
        <v>771</v>
      </c>
      <c r="K23" s="204" t="s">
        <v>772</v>
      </c>
      <c r="L23" s="204" t="s">
        <v>760</v>
      </c>
      <c r="M23" s="237" t="s">
        <v>761</v>
      </c>
    </row>
    <row r="24" spans="1:13" ht="13.5" thickBot="1">
      <c r="A24" s="89">
        <v>1</v>
      </c>
      <c r="B24" s="2011" t="s">
        <v>678</v>
      </c>
      <c r="C24" s="2012">
        <v>2</v>
      </c>
      <c r="D24" s="2013" t="s">
        <v>472</v>
      </c>
      <c r="E24" s="2014" t="s">
        <v>614</v>
      </c>
      <c r="F24" s="2014" t="s">
        <v>295</v>
      </c>
      <c r="G24" s="2014" t="s">
        <v>296</v>
      </c>
      <c r="H24" s="2015" t="s">
        <v>296</v>
      </c>
      <c r="I24" s="2016">
        <v>7</v>
      </c>
      <c r="J24" s="274">
        <v>8</v>
      </c>
      <c r="K24" s="275">
        <v>9</v>
      </c>
      <c r="L24" s="275">
        <v>10</v>
      </c>
      <c r="M24" s="276">
        <v>11</v>
      </c>
    </row>
    <row r="25" spans="1:13" ht="18" customHeight="1" hidden="1" thickBot="1">
      <c r="A25" s="89"/>
      <c r="B25" s="2036"/>
      <c r="C25" s="2037" t="str">
        <f>'ВЕД.СТ Пр.2.'!C11</f>
        <v>ИЗБИРАТЕЛЬНАЯ КОМИССИЯ МО МО ОЗЕРО ДОЛГОЕ</v>
      </c>
      <c r="D25" s="2038">
        <f>'ВЕД.СТ Пр.2.'!D11</f>
        <v>917</v>
      </c>
      <c r="E25" s="2039"/>
      <c r="F25" s="2039"/>
      <c r="G25" s="2039"/>
      <c r="H25" s="2040"/>
      <c r="I25" s="2041">
        <f>I26</f>
        <v>0</v>
      </c>
      <c r="J25" s="274"/>
      <c r="K25" s="275"/>
      <c r="L25" s="275"/>
      <c r="M25" s="276"/>
    </row>
    <row r="26" spans="1:13" ht="18" customHeight="1" hidden="1" thickBot="1">
      <c r="A26" s="89"/>
      <c r="B26" s="2048" t="s">
        <v>678</v>
      </c>
      <c r="C26" s="2049" t="str">
        <f>'Бюд.р.'!A9</f>
        <v>Обеспечение проведения выборов и референдумов</v>
      </c>
      <c r="D26" s="2050">
        <f>'Бюд.р.'!B9</f>
        <v>917</v>
      </c>
      <c r="E26" s="2096" t="s">
        <v>510</v>
      </c>
      <c r="F26" s="2051"/>
      <c r="G26" s="2051"/>
      <c r="H26" s="2052"/>
      <c r="I26" s="2053">
        <f>I27+I30</f>
        <v>0</v>
      </c>
      <c r="J26" s="274"/>
      <c r="K26" s="275"/>
      <c r="L26" s="275"/>
      <c r="M26" s="276"/>
    </row>
    <row r="27" spans="1:13" ht="24.75" hidden="1" thickBot="1">
      <c r="A27" s="132" t="s">
        <v>607</v>
      </c>
      <c r="B27" s="1794" t="s">
        <v>245</v>
      </c>
      <c r="C27" s="1823" t="str">
        <f>'ВЕД.СТ Пр.2.'!C15</f>
        <v>Проведение выборов в представительные органы муниципального образования</v>
      </c>
      <c r="D27" s="1817">
        <f>'ВЕД.СТ Пр.2.'!D15</f>
        <v>917</v>
      </c>
      <c r="E27" s="1781" t="s">
        <v>510</v>
      </c>
      <c r="F27" s="1611" t="str">
        <f>'ВЕД.СТ Пр.2.'!F15</f>
        <v>020 01 01</v>
      </c>
      <c r="G27" s="1611"/>
      <c r="H27" s="1667"/>
      <c r="I27" s="1676">
        <f>SUM(I28:I29)</f>
        <v>0</v>
      </c>
      <c r="J27" s="214"/>
      <c r="K27" s="164"/>
      <c r="L27" s="164"/>
      <c r="M27" s="238"/>
    </row>
    <row r="28" spans="1:13" ht="15.75" hidden="1">
      <c r="A28" s="1867"/>
      <c r="B28" s="1801" t="str">
        <f>'ВЕД.СТ Пр.2.'!B16</f>
        <v>1.1.1</v>
      </c>
      <c r="C28" s="2107" t="str">
        <f>'Бюд.р.'!A13</f>
        <v>Фонд оплаты труда и страховые взносы</v>
      </c>
      <c r="D28" s="2108">
        <f>'ВЕД.СТ Пр.2.'!D16</f>
        <v>917</v>
      </c>
      <c r="E28" s="1774" t="s">
        <v>510</v>
      </c>
      <c r="F28" s="1585" t="str">
        <f>'ВЕД.СТ Пр.2.'!F16</f>
        <v>020 01 01</v>
      </c>
      <c r="G28" s="1585">
        <f>'Бюд.р.'!F13</f>
        <v>121</v>
      </c>
      <c r="H28" s="1586"/>
      <c r="I28" s="1771">
        <f>'Бюд.р.'!H13</f>
        <v>0</v>
      </c>
      <c r="J28" s="214"/>
      <c r="K28" s="164"/>
      <c r="L28" s="164"/>
      <c r="M28" s="238"/>
    </row>
    <row r="29" spans="1:13" ht="16.5" customHeight="1" hidden="1">
      <c r="A29" s="1867"/>
      <c r="B29" s="1801" t="str">
        <f>'ВЕД.СТ Пр.2.'!B17</f>
        <v>1.1.2</v>
      </c>
      <c r="C29" s="2109" t="str">
        <f>'Бюд.р.'!A16</f>
        <v>Прочая закупка товаров, работ и услуг для муниципальных нужд</v>
      </c>
      <c r="D29" s="2108">
        <f>'ВЕД.СТ Пр.2.'!D17</f>
        <v>917</v>
      </c>
      <c r="E29" s="1774" t="s">
        <v>510</v>
      </c>
      <c r="F29" s="1585" t="str">
        <f>'ВЕД.СТ Пр.2.'!F17</f>
        <v>020 01 01 </v>
      </c>
      <c r="G29" s="1585">
        <f>'Бюд.р.'!F16</f>
        <v>244</v>
      </c>
      <c r="H29" s="1586"/>
      <c r="I29" s="1771">
        <f>'Бюд.р.'!H16</f>
        <v>0</v>
      </c>
      <c r="J29" s="214"/>
      <c r="K29" s="164"/>
      <c r="L29" s="164"/>
      <c r="M29" s="238"/>
    </row>
    <row r="30" spans="1:13" ht="23.25" customHeight="1" hidden="1">
      <c r="A30" s="1867"/>
      <c r="B30" s="1794" t="str">
        <f>'ВЕД.СТ Пр.2.'!B18</f>
        <v>1.2</v>
      </c>
      <c r="C30" s="1823" t="str">
        <f>'ВЕД.СТ Пр.2.'!C18</f>
        <v>Повышение правовой культуры избирателей и обучение организаторов выборов</v>
      </c>
      <c r="D30" s="1817">
        <f>'ВЕД.СТ Пр.2.'!D18</f>
        <v>917</v>
      </c>
      <c r="E30" s="1781" t="s">
        <v>510</v>
      </c>
      <c r="F30" s="1611" t="str">
        <f>'ВЕД.СТ Пр.2.'!F18</f>
        <v>020 01 03</v>
      </c>
      <c r="G30" s="1611"/>
      <c r="H30" s="1667"/>
      <c r="I30" s="1676">
        <f>I31</f>
        <v>0</v>
      </c>
      <c r="J30" s="214"/>
      <c r="K30" s="164"/>
      <c r="L30" s="164"/>
      <c r="M30" s="238"/>
    </row>
    <row r="31" spans="1:13" ht="15.75" customHeight="1" hidden="1" thickBot="1">
      <c r="A31" s="1867"/>
      <c r="B31" s="1801" t="str">
        <f>'ВЕД.СТ Пр.2.'!B19</f>
        <v>1.2.1</v>
      </c>
      <c r="C31" s="2109" t="str">
        <f>'Бюд.р.'!A28</f>
        <v>Прочая закупка товаров, работ и услуг для муниципальных нужд</v>
      </c>
      <c r="D31" s="2108">
        <f>'ВЕД.СТ Пр.2.'!D19</f>
        <v>917</v>
      </c>
      <c r="E31" s="1774" t="s">
        <v>510</v>
      </c>
      <c r="F31" s="1585" t="str">
        <f>'ВЕД.СТ Пр.2.'!F19</f>
        <v>020 01 03</v>
      </c>
      <c r="G31" s="1585">
        <f>'Бюд.р.'!F28</f>
        <v>244</v>
      </c>
      <c r="H31" s="1586"/>
      <c r="I31" s="1771">
        <f>'Бюд.р.'!H28</f>
        <v>0</v>
      </c>
      <c r="J31" s="214"/>
      <c r="K31" s="164"/>
      <c r="L31" s="164"/>
      <c r="M31" s="238"/>
    </row>
    <row r="32" spans="1:13" ht="15.75" hidden="1">
      <c r="A32" s="1867"/>
      <c r="B32" s="1895"/>
      <c r="C32" s="1944"/>
      <c r="D32" s="1917"/>
      <c r="E32" s="1869"/>
      <c r="F32" s="1869"/>
      <c r="G32" s="1869"/>
      <c r="H32" s="1975"/>
      <c r="I32" s="1870"/>
      <c r="J32" s="214"/>
      <c r="K32" s="164"/>
      <c r="L32" s="164"/>
      <c r="M32" s="238"/>
    </row>
    <row r="33" spans="1:13" ht="15.75" hidden="1">
      <c r="A33" s="1867"/>
      <c r="B33" s="1895"/>
      <c r="C33" s="1944"/>
      <c r="D33" s="1917"/>
      <c r="E33" s="1869"/>
      <c r="F33" s="1869"/>
      <c r="G33" s="1869"/>
      <c r="H33" s="1975"/>
      <c r="I33" s="1870"/>
      <c r="J33" s="214"/>
      <c r="K33" s="164"/>
      <c r="L33" s="164"/>
      <c r="M33" s="238"/>
    </row>
    <row r="34" spans="1:13" ht="40.5" customHeight="1" hidden="1" thickBot="1">
      <c r="A34" s="133" t="s">
        <v>103</v>
      </c>
      <c r="B34" s="2017"/>
      <c r="C34" s="2018"/>
      <c r="D34" s="2019"/>
      <c r="E34" s="1871"/>
      <c r="F34" s="1871"/>
      <c r="G34" s="1871"/>
      <c r="H34" s="2020"/>
      <c r="I34" s="1868"/>
      <c r="J34" s="215"/>
      <c r="K34" s="205"/>
      <c r="L34" s="205"/>
      <c r="M34" s="239"/>
    </row>
    <row r="35" spans="1:13" ht="23.25" customHeight="1" thickBot="1">
      <c r="A35" s="133"/>
      <c r="B35" s="2030"/>
      <c r="C35" s="2031" t="s">
        <v>82</v>
      </c>
      <c r="D35" s="2032" t="s">
        <v>83</v>
      </c>
      <c r="E35" s="2033"/>
      <c r="F35" s="2033"/>
      <c r="G35" s="2033"/>
      <c r="H35" s="2034"/>
      <c r="I35" s="2035">
        <f>I37+I45+I64</f>
        <v>4108.187</v>
      </c>
      <c r="J35" s="216" t="e">
        <f>J36+J105+J139+J188+J192+J215+#REF!+#REF!</f>
        <v>#REF!</v>
      </c>
      <c r="K35" s="208" t="e">
        <f>K36+K105+K139+K188+K192+K215+#REF!+#REF!</f>
        <v>#REF!</v>
      </c>
      <c r="L35" s="208" t="e">
        <f>L36+L105+L139+L188+L192+L215+#REF!+#REF!</f>
        <v>#REF!</v>
      </c>
      <c r="M35" s="240" t="e">
        <f>M36+M105+M139+M188+M192+M215+#REF!+#REF!</f>
        <v>#REF!</v>
      </c>
    </row>
    <row r="36" spans="1:13" ht="14.25" customHeight="1" hidden="1" thickBot="1">
      <c r="A36" s="133"/>
      <c r="B36" s="2021" t="s">
        <v>607</v>
      </c>
      <c r="C36" s="2022" t="s">
        <v>102</v>
      </c>
      <c r="D36" s="2023" t="s">
        <v>83</v>
      </c>
      <c r="E36" s="2024" t="s">
        <v>457</v>
      </c>
      <c r="F36" s="2024"/>
      <c r="G36" s="2024"/>
      <c r="H36" s="2025"/>
      <c r="I36" s="2026">
        <f>I45+I37</f>
        <v>4108.187</v>
      </c>
      <c r="J36" s="224" t="e">
        <f>J37+J45+J74+J87</f>
        <v>#REF!</v>
      </c>
      <c r="K36" s="209" t="e">
        <f>K37+K45+K74+K87</f>
        <v>#REF!</v>
      </c>
      <c r="L36" s="209" t="e">
        <f>L37+L45+L74+L87</f>
        <v>#REF!</v>
      </c>
      <c r="M36" s="247" t="e">
        <f>M37+M45+M74+M87</f>
        <v>#REF!</v>
      </c>
    </row>
    <row r="37" spans="1:13" ht="37.5" customHeight="1">
      <c r="A37" s="133"/>
      <c r="B37" s="2054" t="s">
        <v>678</v>
      </c>
      <c r="C37" s="2055" t="s">
        <v>132</v>
      </c>
      <c r="D37" s="2056" t="s">
        <v>83</v>
      </c>
      <c r="E37" s="2057" t="s">
        <v>456</v>
      </c>
      <c r="F37" s="2057"/>
      <c r="G37" s="2057"/>
      <c r="H37" s="2058"/>
      <c r="I37" s="2059">
        <f>I38</f>
        <v>1148.509</v>
      </c>
      <c r="J37" s="217">
        <f aca="true" t="shared" si="0" ref="J37:M38">J38</f>
        <v>164.7</v>
      </c>
      <c r="K37" s="93">
        <f t="shared" si="0"/>
        <v>164.8</v>
      </c>
      <c r="L37" s="93">
        <f t="shared" si="0"/>
        <v>164.7</v>
      </c>
      <c r="M37" s="241">
        <f t="shared" si="0"/>
        <v>164.7</v>
      </c>
    </row>
    <row r="38" spans="1:13" ht="14.25" customHeight="1">
      <c r="A38" s="134" t="s">
        <v>245</v>
      </c>
      <c r="B38" s="1898" t="s">
        <v>245</v>
      </c>
      <c r="C38" s="1947" t="s">
        <v>459</v>
      </c>
      <c r="D38" s="1921" t="s">
        <v>83</v>
      </c>
      <c r="E38" s="1106" t="s">
        <v>456</v>
      </c>
      <c r="F38" s="1106" t="s">
        <v>460</v>
      </c>
      <c r="G38" s="1106"/>
      <c r="H38" s="1599"/>
      <c r="I38" s="1189">
        <f>I39</f>
        <v>1148.509</v>
      </c>
      <c r="J38" s="218">
        <f t="shared" si="0"/>
        <v>164.7</v>
      </c>
      <c r="K38" s="127">
        <f t="shared" si="0"/>
        <v>164.8</v>
      </c>
      <c r="L38" s="127">
        <f t="shared" si="0"/>
        <v>164.7</v>
      </c>
      <c r="M38" s="242">
        <f t="shared" si="0"/>
        <v>164.7</v>
      </c>
    </row>
    <row r="39" spans="1:13" ht="46.5" customHeight="1">
      <c r="A39" s="135" t="s">
        <v>182</v>
      </c>
      <c r="B39" s="1629" t="s">
        <v>182</v>
      </c>
      <c r="C39" s="1943" t="str">
        <f>'Бюд.р.'!A61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39" s="1718" t="s">
        <v>83</v>
      </c>
      <c r="E39" s="1110" t="s">
        <v>456</v>
      </c>
      <c r="F39" s="1110" t="s">
        <v>460</v>
      </c>
      <c r="G39" s="1110">
        <f>'Бюд.р.'!F61</f>
        <v>100</v>
      </c>
      <c r="H39" s="1413"/>
      <c r="I39" s="1190">
        <f>'Бюд.р.'!H61</f>
        <v>1148.509</v>
      </c>
      <c r="J39" s="219">
        <v>164.7</v>
      </c>
      <c r="K39" s="130">
        <v>164.8</v>
      </c>
      <c r="L39" s="130">
        <v>164.7</v>
      </c>
      <c r="M39" s="243">
        <v>164.7</v>
      </c>
    </row>
    <row r="40" spans="1:13" ht="24" customHeight="1" hidden="1">
      <c r="A40" s="136" t="s">
        <v>183</v>
      </c>
      <c r="B40" s="1628"/>
      <c r="C40" s="1947" t="s">
        <v>240</v>
      </c>
      <c r="D40" s="1921"/>
      <c r="E40" s="1113" t="s">
        <v>277</v>
      </c>
      <c r="F40" s="1113" t="s">
        <v>104</v>
      </c>
      <c r="G40" s="1113" t="s">
        <v>721</v>
      </c>
      <c r="H40" s="1978" t="s">
        <v>241</v>
      </c>
      <c r="I40" s="1191"/>
      <c r="J40" s="220"/>
      <c r="K40" s="176"/>
      <c r="L40" s="176"/>
      <c r="M40" s="210"/>
    </row>
    <row r="41" spans="1:13" ht="12.75" customHeight="1" hidden="1">
      <c r="A41" s="137" t="s">
        <v>184</v>
      </c>
      <c r="B41" s="1629"/>
      <c r="C41" s="1948" t="s">
        <v>256</v>
      </c>
      <c r="D41" s="1922"/>
      <c r="E41" s="1115" t="s">
        <v>277</v>
      </c>
      <c r="F41" s="1115" t="s">
        <v>104</v>
      </c>
      <c r="G41" s="1115" t="s">
        <v>721</v>
      </c>
      <c r="H41" s="1979" t="s">
        <v>244</v>
      </c>
      <c r="I41" s="1191"/>
      <c r="J41" s="220"/>
      <c r="K41" s="176"/>
      <c r="L41" s="176"/>
      <c r="M41" s="210"/>
    </row>
    <row r="42" spans="1:13" ht="12.75" customHeight="1" hidden="1">
      <c r="A42" s="137" t="s">
        <v>185</v>
      </c>
      <c r="B42" s="1629"/>
      <c r="C42" s="1949" t="s">
        <v>105</v>
      </c>
      <c r="D42" s="1923"/>
      <c r="E42" s="1116" t="s">
        <v>277</v>
      </c>
      <c r="F42" s="1116" t="s">
        <v>104</v>
      </c>
      <c r="G42" s="1116" t="s">
        <v>721</v>
      </c>
      <c r="H42" s="1980" t="s">
        <v>251</v>
      </c>
      <c r="I42" s="1191"/>
      <c r="J42" s="220"/>
      <c r="K42" s="176"/>
      <c r="L42" s="176"/>
      <c r="M42" s="210"/>
    </row>
    <row r="43" spans="1:13" ht="12.75" hidden="1">
      <c r="A43" s="137" t="s">
        <v>186</v>
      </c>
      <c r="B43" s="1629"/>
      <c r="C43" s="1949" t="s">
        <v>106</v>
      </c>
      <c r="D43" s="1923"/>
      <c r="E43" s="1116" t="s">
        <v>277</v>
      </c>
      <c r="F43" s="1116" t="s">
        <v>104</v>
      </c>
      <c r="G43" s="1116" t="s">
        <v>721</v>
      </c>
      <c r="H43" s="1980" t="s">
        <v>252</v>
      </c>
      <c r="I43" s="1191"/>
      <c r="J43" s="220"/>
      <c r="K43" s="176"/>
      <c r="L43" s="176"/>
      <c r="M43" s="210"/>
    </row>
    <row r="44" spans="1:13" ht="38.25" hidden="1">
      <c r="A44" s="133" t="s">
        <v>107</v>
      </c>
      <c r="B44" s="1899"/>
      <c r="C44" s="1950" t="s">
        <v>674</v>
      </c>
      <c r="D44" s="1918"/>
      <c r="E44" s="1118" t="s">
        <v>254</v>
      </c>
      <c r="F44" s="1118"/>
      <c r="G44" s="1118"/>
      <c r="H44" s="1981"/>
      <c r="I44" s="1191"/>
      <c r="J44" s="220"/>
      <c r="K44" s="176"/>
      <c r="L44" s="176"/>
      <c r="M44" s="210"/>
    </row>
    <row r="45" spans="1:13" ht="52.5" customHeight="1">
      <c r="A45" s="133"/>
      <c r="B45" s="2054" t="s">
        <v>768</v>
      </c>
      <c r="C45" s="2060" t="s">
        <v>853</v>
      </c>
      <c r="D45" s="2056" t="s">
        <v>83</v>
      </c>
      <c r="E45" s="2057" t="s">
        <v>474</v>
      </c>
      <c r="F45" s="2057"/>
      <c r="G45" s="2057"/>
      <c r="H45" s="2058"/>
      <c r="I45" s="2059">
        <f>I46+I60</f>
        <v>2959.678</v>
      </c>
      <c r="J45" s="217" t="e">
        <f>#REF!+J46</f>
        <v>#REF!</v>
      </c>
      <c r="K45" s="93" t="e">
        <f>#REF!+K46</f>
        <v>#REF!</v>
      </c>
      <c r="L45" s="93" t="e">
        <f>#REF!+L46</f>
        <v>#REF!</v>
      </c>
      <c r="M45" s="241" t="e">
        <f>#REF!+M46</f>
        <v>#REF!</v>
      </c>
    </row>
    <row r="46" spans="1:13" ht="28.5" customHeight="1">
      <c r="A46" s="134"/>
      <c r="B46" s="1899" t="s">
        <v>280</v>
      </c>
      <c r="C46" s="1951" t="s">
        <v>478</v>
      </c>
      <c r="D46" s="1924">
        <v>925</v>
      </c>
      <c r="E46" s="1120">
        <v>103</v>
      </c>
      <c r="F46" s="1121" t="s">
        <v>45</v>
      </c>
      <c r="G46" s="1120"/>
      <c r="H46" s="1599"/>
      <c r="I46" s="1192">
        <f>I47+I49</f>
        <v>1353.225</v>
      </c>
      <c r="J46" s="218">
        <f>J47+J49</f>
        <v>175.2</v>
      </c>
      <c r="K46" s="127">
        <f>K47+K49</f>
        <v>175</v>
      </c>
      <c r="L46" s="127">
        <f>L47+L49</f>
        <v>175.10000000000002</v>
      </c>
      <c r="M46" s="242">
        <f>M47+M49</f>
        <v>175</v>
      </c>
    </row>
    <row r="47" spans="1:13" ht="25.5" customHeight="1">
      <c r="A47" s="134"/>
      <c r="B47" s="1898" t="s">
        <v>187</v>
      </c>
      <c r="C47" s="1952" t="s">
        <v>46</v>
      </c>
      <c r="D47" s="1925">
        <v>925</v>
      </c>
      <c r="E47" s="2097" t="s">
        <v>474</v>
      </c>
      <c r="F47" s="1122" t="s">
        <v>47</v>
      </c>
      <c r="G47" s="1598"/>
      <c r="H47" s="1982"/>
      <c r="I47" s="1193">
        <f>I48</f>
        <v>1088.625</v>
      </c>
      <c r="J47" s="218">
        <f>J48</f>
        <v>138.4</v>
      </c>
      <c r="K47" s="127">
        <f>K48</f>
        <v>138.3</v>
      </c>
      <c r="L47" s="127">
        <f>L48</f>
        <v>138.4</v>
      </c>
      <c r="M47" s="242">
        <f>M48</f>
        <v>138.3</v>
      </c>
    </row>
    <row r="48" spans="1:13" ht="47.25" customHeight="1">
      <c r="A48" s="134"/>
      <c r="B48" s="1629" t="s">
        <v>188</v>
      </c>
      <c r="C48" s="1943" t="str">
        <f>'Бюд.р.'!A69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48" s="1926">
        <v>925</v>
      </c>
      <c r="E48" s="2098" t="s">
        <v>474</v>
      </c>
      <c r="F48" s="1124" t="s">
        <v>47</v>
      </c>
      <c r="G48" s="1124">
        <f>'Бюд.р.'!F69</f>
        <v>100</v>
      </c>
      <c r="H48" s="1983"/>
      <c r="I48" s="1194">
        <f>'Бюд.р.'!H70</f>
        <v>1088.625</v>
      </c>
      <c r="J48" s="219">
        <v>138.4</v>
      </c>
      <c r="K48" s="130">
        <v>138.3</v>
      </c>
      <c r="L48" s="130">
        <v>138.4</v>
      </c>
      <c r="M48" s="243">
        <v>138.3</v>
      </c>
    </row>
    <row r="49" spans="1:13" ht="25.5" customHeight="1">
      <c r="A49" s="135" t="s">
        <v>88</v>
      </c>
      <c r="B49" s="1898" t="s">
        <v>502</v>
      </c>
      <c r="C49" s="1952" t="s">
        <v>1339</v>
      </c>
      <c r="D49" s="1925">
        <v>925</v>
      </c>
      <c r="E49" s="2097" t="s">
        <v>474</v>
      </c>
      <c r="F49" s="1122" t="s">
        <v>49</v>
      </c>
      <c r="G49" s="1122"/>
      <c r="H49" s="1982"/>
      <c r="I49" s="1193">
        <f>I55</f>
        <v>264.6</v>
      </c>
      <c r="J49" s="218">
        <f>J55</f>
        <v>36.8</v>
      </c>
      <c r="K49" s="127">
        <f>K55</f>
        <v>36.7</v>
      </c>
      <c r="L49" s="127">
        <f>L55</f>
        <v>36.7</v>
      </c>
      <c r="M49" s="242">
        <f>M55</f>
        <v>36.7</v>
      </c>
    </row>
    <row r="50" spans="1:13" ht="25.5" hidden="1">
      <c r="A50" s="136" t="s">
        <v>188</v>
      </c>
      <c r="B50" s="1900"/>
      <c r="C50" s="1953" t="s">
        <v>415</v>
      </c>
      <c r="D50" s="1927">
        <v>968</v>
      </c>
      <c r="E50" s="2099">
        <v>103</v>
      </c>
      <c r="F50" s="780" t="s">
        <v>49</v>
      </c>
      <c r="G50" s="780">
        <v>500</v>
      </c>
      <c r="H50" s="1979" t="s">
        <v>241</v>
      </c>
      <c r="I50" s="1191"/>
      <c r="J50" s="219"/>
      <c r="K50" s="130"/>
      <c r="L50" s="130"/>
      <c r="M50" s="243"/>
    </row>
    <row r="51" spans="1:13" ht="12.75" hidden="1">
      <c r="A51" s="137" t="s">
        <v>190</v>
      </c>
      <c r="B51" s="1629"/>
      <c r="C51" s="1948" t="s">
        <v>256</v>
      </c>
      <c r="D51" s="1922"/>
      <c r="E51" s="1887" t="s">
        <v>254</v>
      </c>
      <c r="F51" s="1115" t="s">
        <v>104</v>
      </c>
      <c r="G51" s="1115" t="s">
        <v>238</v>
      </c>
      <c r="H51" s="1979" t="s">
        <v>244</v>
      </c>
      <c r="I51" s="1191"/>
      <c r="J51" s="219"/>
      <c r="K51" s="130"/>
      <c r="L51" s="130"/>
      <c r="M51" s="243"/>
    </row>
    <row r="52" spans="1:13" ht="12.75" hidden="1">
      <c r="A52" s="137" t="s">
        <v>185</v>
      </c>
      <c r="B52" s="1629"/>
      <c r="C52" s="1949" t="s">
        <v>105</v>
      </c>
      <c r="D52" s="1923"/>
      <c r="E52" s="1552" t="s">
        <v>254</v>
      </c>
      <c r="F52" s="1116" t="s">
        <v>104</v>
      </c>
      <c r="G52" s="1116" t="s">
        <v>238</v>
      </c>
      <c r="H52" s="1980" t="s">
        <v>251</v>
      </c>
      <c r="I52" s="1191"/>
      <c r="J52" s="219"/>
      <c r="K52" s="130"/>
      <c r="L52" s="130"/>
      <c r="M52" s="243"/>
    </row>
    <row r="53" spans="1:13" ht="12.75" hidden="1">
      <c r="A53" s="137" t="s">
        <v>186</v>
      </c>
      <c r="B53" s="1629"/>
      <c r="C53" s="1949" t="s">
        <v>108</v>
      </c>
      <c r="D53" s="1923"/>
      <c r="E53" s="1552" t="s">
        <v>254</v>
      </c>
      <c r="F53" s="1116" t="s">
        <v>234</v>
      </c>
      <c r="G53" s="1116" t="s">
        <v>238</v>
      </c>
      <c r="H53" s="1980" t="s">
        <v>450</v>
      </c>
      <c r="I53" s="1191"/>
      <c r="J53" s="219"/>
      <c r="K53" s="130"/>
      <c r="L53" s="130"/>
      <c r="M53" s="243"/>
    </row>
    <row r="54" spans="1:13" ht="12.75" hidden="1">
      <c r="A54" s="137" t="s">
        <v>191</v>
      </c>
      <c r="B54" s="1629"/>
      <c r="C54" s="1949" t="s">
        <v>106</v>
      </c>
      <c r="D54" s="1923"/>
      <c r="E54" s="1552" t="s">
        <v>254</v>
      </c>
      <c r="F54" s="1116" t="s">
        <v>104</v>
      </c>
      <c r="G54" s="1116" t="s">
        <v>238</v>
      </c>
      <c r="H54" s="1980" t="s">
        <v>252</v>
      </c>
      <c r="I54" s="1191"/>
      <c r="J54" s="219"/>
      <c r="K54" s="130"/>
      <c r="L54" s="130"/>
      <c r="M54" s="243"/>
    </row>
    <row r="55" spans="1:13" ht="47.25" customHeight="1">
      <c r="A55" s="135" t="s">
        <v>281</v>
      </c>
      <c r="B55" s="1629" t="s">
        <v>189</v>
      </c>
      <c r="C55" s="1954" t="str">
        <f>'Бюд.р.'!A78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55" s="1926">
        <v>925</v>
      </c>
      <c r="E55" s="2098" t="s">
        <v>474</v>
      </c>
      <c r="F55" s="1124" t="s">
        <v>49</v>
      </c>
      <c r="G55" s="1124">
        <f>'Бюд.р.'!F78</f>
        <v>100</v>
      </c>
      <c r="H55" s="1984"/>
      <c r="I55" s="1194">
        <f>'Бюд.р.'!H78</f>
        <v>264.6</v>
      </c>
      <c r="J55" s="219">
        <v>36.8</v>
      </c>
      <c r="K55" s="130">
        <v>36.7</v>
      </c>
      <c r="L55" s="130">
        <v>36.7</v>
      </c>
      <c r="M55" s="243">
        <v>36.7</v>
      </c>
    </row>
    <row r="56" spans="1:13" ht="24" hidden="1">
      <c r="A56" s="138" t="s">
        <v>189</v>
      </c>
      <c r="B56" s="1628"/>
      <c r="C56" s="1955" t="s">
        <v>240</v>
      </c>
      <c r="D56" s="1921"/>
      <c r="E56" s="2100" t="s">
        <v>254</v>
      </c>
      <c r="F56" s="1113" t="s">
        <v>104</v>
      </c>
      <c r="G56" s="1113" t="s">
        <v>675</v>
      </c>
      <c r="H56" s="1978" t="s">
        <v>241</v>
      </c>
      <c r="I56" s="1191"/>
      <c r="J56" s="220"/>
      <c r="K56" s="176"/>
      <c r="L56" s="176"/>
      <c r="M56" s="210"/>
    </row>
    <row r="57" spans="1:13" ht="12.75" hidden="1">
      <c r="A57" s="139" t="s">
        <v>190</v>
      </c>
      <c r="B57" s="1629"/>
      <c r="C57" s="1956" t="s">
        <v>256</v>
      </c>
      <c r="D57" s="1928"/>
      <c r="E57" s="2101" t="s">
        <v>254</v>
      </c>
      <c r="F57" s="1127" t="s">
        <v>104</v>
      </c>
      <c r="G57" s="1127" t="s">
        <v>675</v>
      </c>
      <c r="H57" s="1985" t="s">
        <v>244</v>
      </c>
      <c r="I57" s="1191"/>
      <c r="J57" s="220"/>
      <c r="K57" s="176"/>
      <c r="L57" s="176"/>
      <c r="M57" s="210"/>
    </row>
    <row r="58" spans="1:13" ht="12.75" hidden="1">
      <c r="A58" s="140" t="s">
        <v>185</v>
      </c>
      <c r="B58" s="1901"/>
      <c r="C58" s="1949" t="s">
        <v>105</v>
      </c>
      <c r="D58" s="1923"/>
      <c r="E58" s="1552" t="s">
        <v>254</v>
      </c>
      <c r="F58" s="1116" t="s">
        <v>104</v>
      </c>
      <c r="G58" s="1116" t="s">
        <v>675</v>
      </c>
      <c r="H58" s="1980" t="s">
        <v>251</v>
      </c>
      <c r="I58" s="1191"/>
      <c r="J58" s="220"/>
      <c r="K58" s="176"/>
      <c r="L58" s="176"/>
      <c r="M58" s="210"/>
    </row>
    <row r="59" spans="1:13" ht="12.75" hidden="1">
      <c r="A59" s="140" t="s">
        <v>191</v>
      </c>
      <c r="B59" s="1901"/>
      <c r="C59" s="1949" t="s">
        <v>109</v>
      </c>
      <c r="D59" s="1923"/>
      <c r="E59" s="1552" t="s">
        <v>254</v>
      </c>
      <c r="F59" s="1116" t="s">
        <v>104</v>
      </c>
      <c r="G59" s="1116" t="s">
        <v>675</v>
      </c>
      <c r="H59" s="1980" t="s">
        <v>252</v>
      </c>
      <c r="I59" s="1191"/>
      <c r="J59" s="220"/>
      <c r="K59" s="176"/>
      <c r="L59" s="176"/>
      <c r="M59" s="210"/>
    </row>
    <row r="60" spans="1:13" ht="24.75" customHeight="1">
      <c r="A60" s="141"/>
      <c r="B60" s="1898" t="s">
        <v>197</v>
      </c>
      <c r="C60" s="1951" t="s">
        <v>44</v>
      </c>
      <c r="D60" s="1924">
        <v>925</v>
      </c>
      <c r="E60" s="2102" t="s">
        <v>474</v>
      </c>
      <c r="F60" s="1120" t="s">
        <v>475</v>
      </c>
      <c r="G60" s="1120"/>
      <c r="H60" s="1599"/>
      <c r="I60" s="1192">
        <f>SUM(I61:I63)</f>
        <v>1606.453</v>
      </c>
      <c r="J60" s="220"/>
      <c r="K60" s="176"/>
      <c r="L60" s="176"/>
      <c r="M60" s="210"/>
    </row>
    <row r="61" spans="1:13" ht="34.5" customHeight="1">
      <c r="A61" s="141"/>
      <c r="B61" s="1902" t="s">
        <v>135</v>
      </c>
      <c r="C61" s="1943" t="str">
        <f>'Бюд.р.'!A83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61" s="1926">
        <v>925</v>
      </c>
      <c r="E61" s="2098" t="s">
        <v>474</v>
      </c>
      <c r="F61" s="1124" t="str">
        <f>'Бюд.р.'!D84</f>
        <v>002  04 00</v>
      </c>
      <c r="G61" s="1124">
        <f>'Бюд.р.'!F83</f>
        <v>100</v>
      </c>
      <c r="H61" s="1983"/>
      <c r="I61" s="1194">
        <f>'Бюд.р.'!H83</f>
        <v>674.219</v>
      </c>
      <c r="J61" s="220"/>
      <c r="K61" s="176"/>
      <c r="L61" s="176"/>
      <c r="M61" s="210"/>
    </row>
    <row r="62" spans="1:13" ht="24.75" customHeight="1">
      <c r="A62" s="141"/>
      <c r="B62" s="1902" t="s">
        <v>926</v>
      </c>
      <c r="C62" s="1954" t="str">
        <f>'Бюд.р.'!A89</f>
        <v>Закупка товаров, работ и услуг  для государственных (муниципальных) нужд</v>
      </c>
      <c r="D62" s="1926">
        <v>925</v>
      </c>
      <c r="E62" s="2098" t="s">
        <v>474</v>
      </c>
      <c r="F62" s="1124" t="str">
        <f>'Бюд.р.'!D94</f>
        <v>002 04 00</v>
      </c>
      <c r="G62" s="1124">
        <f>'Бюд.р.'!F89</f>
        <v>200</v>
      </c>
      <c r="H62" s="1983"/>
      <c r="I62" s="1194">
        <f>'Бюд.р.'!H89</f>
        <v>932.234</v>
      </c>
      <c r="J62" s="220"/>
      <c r="K62" s="176"/>
      <c r="L62" s="176"/>
      <c r="M62" s="210"/>
    </row>
    <row r="63" spans="1:13" ht="15.75" customHeight="1" thickBot="1">
      <c r="A63" s="141"/>
      <c r="B63" s="1902" t="s">
        <v>927</v>
      </c>
      <c r="C63" s="1954" t="str">
        <f>'Бюд.р.'!A103</f>
        <v>Иные бюджетные ассигнования</v>
      </c>
      <c r="D63" s="1926">
        <v>925</v>
      </c>
      <c r="E63" s="2098" t="s">
        <v>474</v>
      </c>
      <c r="F63" s="1124" t="s">
        <v>475</v>
      </c>
      <c r="G63" s="1124">
        <f>'Бюд.р.'!F103</f>
        <v>800</v>
      </c>
      <c r="H63" s="1983"/>
      <c r="I63" s="1194">
        <f>'Бюд.р.'!H103</f>
        <v>0</v>
      </c>
      <c r="J63" s="220"/>
      <c r="K63" s="176"/>
      <c r="L63" s="176"/>
      <c r="M63" s="210"/>
    </row>
    <row r="64" spans="1:13" ht="15.75" customHeight="1" hidden="1">
      <c r="A64" s="141"/>
      <c r="B64" s="2054" t="s">
        <v>472</v>
      </c>
      <c r="C64" s="2060" t="s">
        <v>410</v>
      </c>
      <c r="D64" s="2056" t="s">
        <v>591</v>
      </c>
      <c r="E64" s="2057" t="s">
        <v>857</v>
      </c>
      <c r="F64" s="2069"/>
      <c r="G64" s="2069"/>
      <c r="H64" s="2070"/>
      <c r="I64" s="2059">
        <f>I65</f>
        <v>0</v>
      </c>
      <c r="J64" s="220"/>
      <c r="K64" s="176"/>
      <c r="L64" s="176"/>
      <c r="M64" s="210"/>
    </row>
    <row r="65" spans="1:13" ht="37.5" customHeight="1" hidden="1">
      <c r="A65" s="141"/>
      <c r="B65" s="1899" t="s">
        <v>235</v>
      </c>
      <c r="C65" s="1951" t="s">
        <v>940</v>
      </c>
      <c r="D65" s="1924">
        <v>968</v>
      </c>
      <c r="E65" s="2102" t="s">
        <v>857</v>
      </c>
      <c r="F65" s="1120" t="str">
        <f>'Бюд.р.'!D108</f>
        <v>092 05 00</v>
      </c>
      <c r="G65" s="1110"/>
      <c r="H65" s="1413"/>
      <c r="I65" s="1192">
        <f>I66</f>
        <v>0</v>
      </c>
      <c r="J65" s="220"/>
      <c r="K65" s="176"/>
      <c r="L65" s="176"/>
      <c r="M65" s="210"/>
    </row>
    <row r="66" spans="1:13" ht="39.75" customHeight="1" hidden="1" thickBot="1">
      <c r="A66" s="141"/>
      <c r="B66" s="1898" t="s">
        <v>195</v>
      </c>
      <c r="C66" s="1954" t="str">
        <f>Пцс!B20</f>
        <v>УПЛАТА ЧЛЕНСКИХ ВЗНОСОВ НА ОСУЩЕСТВЛЕНИЕ ДЕЯТЕЛЬНОСТИ СОВЕТА МУНИЦИПАЛЬНЫХ ОБРАЗОВАНИЙ САНКТ-ПЕТЕРБУРГА И СОДЕРЖАНИЕ ЕГО ОРГАНОВ</v>
      </c>
      <c r="D66" s="1718" t="s">
        <v>591</v>
      </c>
      <c r="E66" s="1110" t="s">
        <v>857</v>
      </c>
      <c r="F66" s="1110" t="str">
        <f>'Бюд.р.'!D110</f>
        <v>092 05 00</v>
      </c>
      <c r="G66" s="1110">
        <f>'Бюд.р.'!F110</f>
        <v>853</v>
      </c>
      <c r="H66" s="1413"/>
      <c r="I66" s="1190">
        <f>'Бюд.р.'!H110</f>
        <v>0</v>
      </c>
      <c r="J66" s="220"/>
      <c r="K66" s="176"/>
      <c r="L66" s="176"/>
      <c r="M66" s="210"/>
    </row>
    <row r="67" spans="1:13" ht="15.75" customHeight="1" hidden="1">
      <c r="A67" s="141"/>
      <c r="B67" s="1903" t="s">
        <v>608</v>
      </c>
      <c r="C67" s="1957" t="s">
        <v>236</v>
      </c>
      <c r="D67" s="1929">
        <v>925</v>
      </c>
      <c r="E67" s="2103">
        <v>700</v>
      </c>
      <c r="F67" s="1881"/>
      <c r="G67" s="1881"/>
      <c r="H67" s="1986"/>
      <c r="I67" s="2007">
        <f>I70</f>
        <v>0</v>
      </c>
      <c r="J67" s="220"/>
      <c r="K67" s="176"/>
      <c r="L67" s="176"/>
      <c r="M67" s="210"/>
    </row>
    <row r="68" spans="1:13" ht="27" customHeight="1" hidden="1">
      <c r="A68" s="141"/>
      <c r="B68" s="2061">
        <v>3</v>
      </c>
      <c r="C68" s="2062" t="s">
        <v>992</v>
      </c>
      <c r="D68" s="2063">
        <v>925</v>
      </c>
      <c r="E68" s="2104" t="s">
        <v>993</v>
      </c>
      <c r="F68" s="2064"/>
      <c r="G68" s="2064"/>
      <c r="H68" s="2065"/>
      <c r="I68" s="2066">
        <f>I69</f>
        <v>0</v>
      </c>
      <c r="J68" s="220"/>
      <c r="K68" s="176"/>
      <c r="L68" s="176"/>
      <c r="M68" s="210"/>
    </row>
    <row r="69" spans="1:13" ht="15.75" customHeight="1" hidden="1">
      <c r="A69" s="141"/>
      <c r="B69" s="1794" t="s">
        <v>1066</v>
      </c>
      <c r="C69" s="1958" t="s">
        <v>1025</v>
      </c>
      <c r="D69" s="1930">
        <v>925</v>
      </c>
      <c r="E69" s="2097" t="s">
        <v>993</v>
      </c>
      <c r="F69" s="648" t="s">
        <v>999</v>
      </c>
      <c r="G69" s="648"/>
      <c r="H69" s="1987"/>
      <c r="I69" s="1676">
        <f>I70</f>
        <v>0</v>
      </c>
      <c r="J69" s="220"/>
      <c r="K69" s="176"/>
      <c r="L69" s="176"/>
      <c r="M69" s="210"/>
    </row>
    <row r="70" spans="1:13" ht="46.5" customHeight="1" hidden="1">
      <c r="A70" s="141"/>
      <c r="B70" s="1904" t="s">
        <v>195</v>
      </c>
      <c r="C70" s="1959" t="s">
        <v>1065</v>
      </c>
      <c r="D70" s="1506">
        <v>925</v>
      </c>
      <c r="E70" s="1781" t="s">
        <v>993</v>
      </c>
      <c r="F70" s="1505" t="s">
        <v>1001</v>
      </c>
      <c r="G70" s="1505"/>
      <c r="H70" s="1987"/>
      <c r="I70" s="1676">
        <f>I71</f>
        <v>0</v>
      </c>
      <c r="J70" s="220"/>
      <c r="K70" s="176"/>
      <c r="L70" s="176"/>
      <c r="M70" s="210"/>
    </row>
    <row r="71" spans="1:13" ht="15.75" customHeight="1" hidden="1" thickBot="1">
      <c r="A71" s="141"/>
      <c r="B71" s="1631" t="s">
        <v>669</v>
      </c>
      <c r="C71" s="2027" t="s">
        <v>1002</v>
      </c>
      <c r="D71" s="2028">
        <v>925</v>
      </c>
      <c r="E71" s="2105" t="s">
        <v>993</v>
      </c>
      <c r="F71" s="794" t="s">
        <v>1001</v>
      </c>
      <c r="G71" s="794">
        <v>244</v>
      </c>
      <c r="H71" s="2029"/>
      <c r="I71" s="1160">
        <v>0</v>
      </c>
      <c r="J71" s="220"/>
      <c r="K71" s="176"/>
      <c r="L71" s="176"/>
      <c r="M71" s="210"/>
    </row>
    <row r="72" spans="1:13" ht="18.75" customHeight="1" thickBot="1">
      <c r="A72" s="141"/>
      <c r="B72" s="2042"/>
      <c r="C72" s="2043" t="s">
        <v>458</v>
      </c>
      <c r="D72" s="2044" t="s">
        <v>591</v>
      </c>
      <c r="E72" s="2045"/>
      <c r="F72" s="2045"/>
      <c r="G72" s="2045"/>
      <c r="H72" s="2046"/>
      <c r="I72" s="2047">
        <f>I74+I84++I87+I108+I130+I136+I140+I193+I199+I210+I216+I219+I224+I227+I241+I247</f>
        <v>116891.813</v>
      </c>
      <c r="J72" s="220"/>
      <c r="K72" s="176"/>
      <c r="L72" s="176"/>
      <c r="M72" s="210"/>
    </row>
    <row r="73" spans="1:13" ht="15.75" customHeight="1" hidden="1" thickBot="1">
      <c r="A73" s="141"/>
      <c r="B73" s="2021" t="s">
        <v>607</v>
      </c>
      <c r="C73" s="2022" t="s">
        <v>102</v>
      </c>
      <c r="D73" s="2023" t="s">
        <v>591</v>
      </c>
      <c r="E73" s="2024" t="s">
        <v>457</v>
      </c>
      <c r="F73" s="2024"/>
      <c r="G73" s="2024"/>
      <c r="H73" s="2025"/>
      <c r="I73" s="2026">
        <f>I74+I84+I87</f>
        <v>29256.658</v>
      </c>
      <c r="J73" s="220"/>
      <c r="K73" s="176"/>
      <c r="L73" s="176"/>
      <c r="M73" s="210"/>
    </row>
    <row r="74" spans="1:13" ht="64.5" customHeight="1">
      <c r="A74" s="141"/>
      <c r="B74" s="2054" t="s">
        <v>614</v>
      </c>
      <c r="C74" s="2060" t="s">
        <v>854</v>
      </c>
      <c r="D74" s="2056" t="s">
        <v>591</v>
      </c>
      <c r="E74" s="2057" t="s">
        <v>476</v>
      </c>
      <c r="F74" s="2057"/>
      <c r="G74" s="2057"/>
      <c r="H74" s="2058"/>
      <c r="I74" s="2059">
        <f>I75+I77+I82</f>
        <v>25821.522999999997</v>
      </c>
      <c r="J74" s="217" t="e">
        <f>J77+J83</f>
        <v>#REF!</v>
      </c>
      <c r="K74" s="93" t="e">
        <f>K77+K83</f>
        <v>#REF!</v>
      </c>
      <c r="L74" s="93" t="e">
        <f>L77+L83</f>
        <v>#REF!</v>
      </c>
      <c r="M74" s="241" t="e">
        <f>M77+M83</f>
        <v>#REF!</v>
      </c>
    </row>
    <row r="75" spans="1:13" ht="14.25" customHeight="1">
      <c r="A75" s="141"/>
      <c r="B75" s="1899" t="s">
        <v>615</v>
      </c>
      <c r="C75" s="1947" t="s">
        <v>87</v>
      </c>
      <c r="D75" s="1921" t="s">
        <v>591</v>
      </c>
      <c r="E75" s="1106" t="s">
        <v>476</v>
      </c>
      <c r="F75" s="1106" t="s">
        <v>477</v>
      </c>
      <c r="G75" s="1882"/>
      <c r="H75" s="1988"/>
      <c r="I75" s="1192">
        <f>I76</f>
        <v>1301.673</v>
      </c>
      <c r="J75" s="217"/>
      <c r="K75" s="93"/>
      <c r="L75" s="93"/>
      <c r="M75" s="241"/>
    </row>
    <row r="76" spans="1:13" ht="45" customHeight="1">
      <c r="A76" s="141"/>
      <c r="B76" s="1629" t="s">
        <v>435</v>
      </c>
      <c r="C76" s="1943" t="str">
        <f>'Бюд.р.'!A159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76" s="1718" t="s">
        <v>591</v>
      </c>
      <c r="E76" s="1110" t="s">
        <v>476</v>
      </c>
      <c r="F76" s="1110" t="s">
        <v>477</v>
      </c>
      <c r="G76" s="1110">
        <f>'Бюд.р.'!F159</f>
        <v>100</v>
      </c>
      <c r="H76" s="1988"/>
      <c r="I76" s="1194">
        <f>'Бюд.р.'!H159</f>
        <v>1301.673</v>
      </c>
      <c r="J76" s="217"/>
      <c r="K76" s="93"/>
      <c r="L76" s="93"/>
      <c r="M76" s="241"/>
    </row>
    <row r="77" spans="1:13" ht="26.25" customHeight="1">
      <c r="A77" s="134" t="s">
        <v>235</v>
      </c>
      <c r="B77" s="1898" t="s">
        <v>616</v>
      </c>
      <c r="C77" s="2460" t="s">
        <v>54</v>
      </c>
      <c r="D77" s="1921" t="s">
        <v>591</v>
      </c>
      <c r="E77" s="1106" t="s">
        <v>476</v>
      </c>
      <c r="F77" s="1106" t="s">
        <v>52</v>
      </c>
      <c r="G77" s="1106"/>
      <c r="H77" s="1600"/>
      <c r="I77" s="1192">
        <f>I78+I79+I80+I81</f>
        <v>24514.25</v>
      </c>
      <c r="J77" s="218">
        <f>SUM(J78:J78)</f>
        <v>2691.8</v>
      </c>
      <c r="K77" s="127">
        <f>SUM(K78:K78)</f>
        <v>2768.6</v>
      </c>
      <c r="L77" s="127">
        <f>SUM(L78:L78)</f>
        <v>4207.1</v>
      </c>
      <c r="M77" s="242">
        <f>SUM(M78:M78)</f>
        <v>2727.5</v>
      </c>
    </row>
    <row r="78" spans="1:13" ht="47.25" customHeight="1">
      <c r="A78" s="134"/>
      <c r="B78" s="1629" t="s">
        <v>617</v>
      </c>
      <c r="C78" s="1943" t="str">
        <f>'Бюд.р.'!A166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78" s="1926">
        <v>968</v>
      </c>
      <c r="E78" s="2098" t="s">
        <v>476</v>
      </c>
      <c r="F78" s="1124" t="s">
        <v>52</v>
      </c>
      <c r="G78" s="1124">
        <f>'Бюд.р.'!F166</f>
        <v>100</v>
      </c>
      <c r="H78" s="1424"/>
      <c r="I78" s="1194">
        <f>'Бюд.р.'!H166</f>
        <v>19466.561</v>
      </c>
      <c r="J78" s="219">
        <v>2691.8</v>
      </c>
      <c r="K78" s="130">
        <v>2768.6</v>
      </c>
      <c r="L78" s="130">
        <v>4207.1</v>
      </c>
      <c r="M78" s="243">
        <v>2727.5</v>
      </c>
    </row>
    <row r="79" spans="1:13" ht="24" customHeight="1">
      <c r="A79" s="134"/>
      <c r="B79" s="1629" t="s">
        <v>1067</v>
      </c>
      <c r="C79" s="1954" t="str">
        <f>'Бюд.р.'!A172</f>
        <v>Закупка товаров, работ и услуг  для государственных (муниципальных) нужд</v>
      </c>
      <c r="D79" s="1926">
        <f>'Бюд.р.'!B173</f>
        <v>968</v>
      </c>
      <c r="E79" s="2098" t="s">
        <v>476</v>
      </c>
      <c r="F79" s="1124" t="str">
        <f>'Бюд.р.'!D173</f>
        <v>002  06 01</v>
      </c>
      <c r="G79" s="1124">
        <f>'Бюд.р.'!F172</f>
        <v>200</v>
      </c>
      <c r="H79" s="1424"/>
      <c r="I79" s="1194">
        <f>'Бюд.р.'!H172</f>
        <v>4975.189</v>
      </c>
      <c r="J79" s="219"/>
      <c r="K79" s="130"/>
      <c r="L79" s="130"/>
      <c r="M79" s="243"/>
    </row>
    <row r="80" spans="1:13" ht="16.5" customHeight="1">
      <c r="A80" s="134"/>
      <c r="B80" s="1629" t="s">
        <v>1326</v>
      </c>
      <c r="C80" s="1954" t="str">
        <f>'Бюд.р.'!A194</f>
        <v>Социальное обеспечение и иные выплаты населению</v>
      </c>
      <c r="D80" s="1926">
        <v>968</v>
      </c>
      <c r="E80" s="2098" t="s">
        <v>476</v>
      </c>
      <c r="F80" s="1124" t="str">
        <f>'Бюд.р.'!D195</f>
        <v>002  06 01</v>
      </c>
      <c r="G80" s="1124">
        <f>'Бюд.р.'!F194</f>
        <v>300</v>
      </c>
      <c r="H80" s="1424"/>
      <c r="I80" s="1194">
        <f>'Бюд.р.'!H194</f>
        <v>57.067</v>
      </c>
      <c r="J80" s="219"/>
      <c r="K80" s="130"/>
      <c r="L80" s="130"/>
      <c r="M80" s="243"/>
    </row>
    <row r="81" spans="1:13" ht="12.75" customHeight="1">
      <c r="A81" s="134"/>
      <c r="B81" s="1629" t="s">
        <v>1327</v>
      </c>
      <c r="C81" s="1954" t="str">
        <f>'Бюд.р.'!A208</f>
        <v>Иные бюджетные ассигнования</v>
      </c>
      <c r="D81" s="1926">
        <v>968</v>
      </c>
      <c r="E81" s="2098" t="s">
        <v>476</v>
      </c>
      <c r="F81" s="1124" t="s">
        <v>52</v>
      </c>
      <c r="G81" s="1124">
        <f>'Бюд.р.'!F208</f>
        <v>800</v>
      </c>
      <c r="H81" s="1424"/>
      <c r="I81" s="1194">
        <f>'Бюд.р.'!H208</f>
        <v>15.433</v>
      </c>
      <c r="J81" s="219"/>
      <c r="K81" s="130"/>
      <c r="L81" s="130"/>
      <c r="M81" s="243"/>
    </row>
    <row r="82" spans="1:13" ht="48" customHeight="1">
      <c r="A82" s="134"/>
      <c r="B82" s="1898" t="s">
        <v>749</v>
      </c>
      <c r="C82" s="1951" t="str">
        <f>'Бюд.р.'!A215</f>
        <v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v>
      </c>
      <c r="D82" s="1924">
        <v>968</v>
      </c>
      <c r="E82" s="2102" t="s">
        <v>476</v>
      </c>
      <c r="F82" s="1120" t="str">
        <f>'Бюд.р.'!D215</f>
        <v>002  80 10</v>
      </c>
      <c r="G82" s="1120"/>
      <c r="H82" s="1600"/>
      <c r="I82" s="1192">
        <f>I83</f>
        <v>5.6</v>
      </c>
      <c r="J82" s="219"/>
      <c r="K82" s="130"/>
      <c r="L82" s="130"/>
      <c r="M82" s="243"/>
    </row>
    <row r="83" spans="1:13" ht="25.5" customHeight="1">
      <c r="A83" s="135" t="s">
        <v>195</v>
      </c>
      <c r="B83" s="1629" t="s">
        <v>136</v>
      </c>
      <c r="C83" s="1954" t="str">
        <f>'Бюд.р.'!A216</f>
        <v>Закупка товаров, работ и услуг  для государственных (муниципальных) нужд</v>
      </c>
      <c r="D83" s="1926">
        <v>968</v>
      </c>
      <c r="E83" s="2098" t="s">
        <v>476</v>
      </c>
      <c r="F83" s="1124" t="str">
        <f>'Бюд.р.'!D217</f>
        <v>002  80 10</v>
      </c>
      <c r="G83" s="1124">
        <f>'Бюд.р.'!F216</f>
        <v>200</v>
      </c>
      <c r="H83" s="1424"/>
      <c r="I83" s="1194">
        <f>'Бюд.р.'!H216</f>
        <v>5.6</v>
      </c>
      <c r="J83" s="218" t="e">
        <f>#REF!</f>
        <v>#REF!</v>
      </c>
      <c r="K83" s="127" t="e">
        <f>#REF!</f>
        <v>#REF!</v>
      </c>
      <c r="L83" s="127" t="e">
        <f>#REF!</f>
        <v>#REF!</v>
      </c>
      <c r="M83" s="242" t="e">
        <f>#REF!</f>
        <v>#REF!</v>
      </c>
    </row>
    <row r="84" spans="1:13" ht="12.75">
      <c r="A84" s="138" t="s">
        <v>669</v>
      </c>
      <c r="B84" s="2054" t="s">
        <v>295</v>
      </c>
      <c r="C84" s="2067" t="s">
        <v>24</v>
      </c>
      <c r="D84" s="2056">
        <v>968</v>
      </c>
      <c r="E84" s="2104" t="s">
        <v>1239</v>
      </c>
      <c r="F84" s="2057"/>
      <c r="G84" s="2057"/>
      <c r="H84" s="2068"/>
      <c r="I84" s="2059">
        <f>I85</f>
        <v>2869.841</v>
      </c>
      <c r="J84" s="219"/>
      <c r="K84" s="130"/>
      <c r="L84" s="130"/>
      <c r="M84" s="243"/>
    </row>
    <row r="85" spans="1:13" ht="12.75">
      <c r="A85" s="139" t="s">
        <v>419</v>
      </c>
      <c r="B85" s="1898" t="s">
        <v>672</v>
      </c>
      <c r="C85" s="1953" t="s">
        <v>25</v>
      </c>
      <c r="D85" s="1924">
        <v>968</v>
      </c>
      <c r="E85" s="2102" t="s">
        <v>1239</v>
      </c>
      <c r="F85" s="1120" t="str">
        <f>'ВЕД.СТ Пр.2.'!F61</f>
        <v>070 01 00</v>
      </c>
      <c r="G85" s="1120"/>
      <c r="H85" s="1989"/>
      <c r="I85" s="1193">
        <f>I86</f>
        <v>2869.841</v>
      </c>
      <c r="J85" s="219"/>
      <c r="K85" s="130"/>
      <c r="L85" s="130"/>
      <c r="M85" s="243"/>
    </row>
    <row r="86" spans="1:13" ht="12.75">
      <c r="A86" s="139" t="s">
        <v>185</v>
      </c>
      <c r="B86" s="1629" t="s">
        <v>89</v>
      </c>
      <c r="C86" s="1954" t="str">
        <f>'Бюд.р.'!A229</f>
        <v>Иные бюджетные ассигнования</v>
      </c>
      <c r="D86" s="1926">
        <v>968</v>
      </c>
      <c r="E86" s="2098" t="s">
        <v>1239</v>
      </c>
      <c r="F86" s="1124" t="str">
        <f>'Бюд.р.'!D230</f>
        <v>070 01 01</v>
      </c>
      <c r="G86" s="1124">
        <f>'Бюд.р.'!F229</f>
        <v>800</v>
      </c>
      <c r="H86" s="1984"/>
      <c r="I86" s="1194">
        <f>'Бюд.р.'!H230</f>
        <v>2869.841</v>
      </c>
      <c r="J86" s="219"/>
      <c r="K86" s="130"/>
      <c r="L86" s="130"/>
      <c r="M86" s="243"/>
    </row>
    <row r="87" spans="1:13" ht="12" customHeight="1">
      <c r="A87" s="139"/>
      <c r="B87" s="2054" t="s">
        <v>296</v>
      </c>
      <c r="C87" s="2060" t="s">
        <v>410</v>
      </c>
      <c r="D87" s="2056" t="s">
        <v>591</v>
      </c>
      <c r="E87" s="2057" t="s">
        <v>857</v>
      </c>
      <c r="F87" s="2069"/>
      <c r="G87" s="2069"/>
      <c r="H87" s="2070"/>
      <c r="I87" s="2059">
        <f>I88+I95+I97+I99+I101+I103+I106</f>
        <v>565.294</v>
      </c>
      <c r="J87" s="215" t="e">
        <f>J88+J90+J92+#REF!</f>
        <v>#REF!</v>
      </c>
      <c r="K87" s="205" t="e">
        <f>K88+K90+K92+#REF!</f>
        <v>#REF!</v>
      </c>
      <c r="L87" s="205" t="e">
        <f>L88+L90+L92+#REF!</f>
        <v>#REF!</v>
      </c>
      <c r="M87" s="239" t="e">
        <f>M88+M90+M92+#REF!</f>
        <v>#REF!</v>
      </c>
    </row>
    <row r="88" spans="1:13" ht="34.5" customHeight="1">
      <c r="A88" s="139"/>
      <c r="B88" s="1898" t="s">
        <v>673</v>
      </c>
      <c r="C88" s="1951" t="s">
        <v>939</v>
      </c>
      <c r="D88" s="1921" t="s">
        <v>591</v>
      </c>
      <c r="E88" s="1106" t="s">
        <v>857</v>
      </c>
      <c r="F88" s="1136" t="str">
        <f>F89</f>
        <v>090 01 00</v>
      </c>
      <c r="G88" s="1106"/>
      <c r="H88" s="1601"/>
      <c r="I88" s="1192">
        <f>I89</f>
        <v>0</v>
      </c>
      <c r="J88" s="218">
        <f>J89</f>
        <v>0</v>
      </c>
      <c r="K88" s="127">
        <f>K89</f>
        <v>0</v>
      </c>
      <c r="L88" s="127">
        <f>L89</f>
        <v>0</v>
      </c>
      <c r="M88" s="242">
        <f>M89</f>
        <v>0</v>
      </c>
    </row>
    <row r="89" spans="1:13" ht="25.5" customHeight="1">
      <c r="A89" s="141"/>
      <c r="B89" s="1629" t="s">
        <v>90</v>
      </c>
      <c r="C89" s="1954" t="str">
        <f>'Бюд.р.'!A235</f>
        <v>Закупка товаров, работ и услуг  для государственных (муниципальных) нужд</v>
      </c>
      <c r="D89" s="1718" t="s">
        <v>591</v>
      </c>
      <c r="E89" s="1110" t="s">
        <v>857</v>
      </c>
      <c r="F89" s="1110" t="s">
        <v>937</v>
      </c>
      <c r="G89" s="1110">
        <f>'Бюд.р.'!F235</f>
        <v>200</v>
      </c>
      <c r="H89" s="1981"/>
      <c r="I89" s="1190">
        <f>'Бюд.р.'!H236</f>
        <v>0</v>
      </c>
      <c r="J89" s="219">
        <v>0</v>
      </c>
      <c r="K89" s="130">
        <v>0</v>
      </c>
      <c r="L89" s="130">
        <v>0</v>
      </c>
      <c r="M89" s="243">
        <v>0</v>
      </c>
    </row>
    <row r="90" spans="1:13" ht="57" customHeight="1" hidden="1">
      <c r="A90" s="134" t="s">
        <v>615</v>
      </c>
      <c r="B90" s="1898" t="s">
        <v>738</v>
      </c>
      <c r="C90" s="1947" t="s">
        <v>414</v>
      </c>
      <c r="D90" s="1921" t="s">
        <v>591</v>
      </c>
      <c r="E90" s="1106" t="s">
        <v>857</v>
      </c>
      <c r="F90" s="1136" t="s">
        <v>220</v>
      </c>
      <c r="G90" s="1883"/>
      <c r="H90" s="1599"/>
      <c r="I90" s="1192">
        <f>SUM(I91:I94)</f>
        <v>0</v>
      </c>
      <c r="J90" s="218">
        <f>J91</f>
        <v>125</v>
      </c>
      <c r="K90" s="127">
        <f>K91</f>
        <v>125</v>
      </c>
      <c r="L90" s="127">
        <f>L91</f>
        <v>125</v>
      </c>
      <c r="M90" s="242">
        <f>M91</f>
        <v>125</v>
      </c>
    </row>
    <row r="91" spans="1:13" ht="14.25" customHeight="1" hidden="1">
      <c r="A91" s="135" t="s">
        <v>435</v>
      </c>
      <c r="B91" s="1629" t="s">
        <v>473</v>
      </c>
      <c r="C91" s="1943" t="s">
        <v>415</v>
      </c>
      <c r="D91" s="1718" t="s">
        <v>591</v>
      </c>
      <c r="E91" s="1110" t="s">
        <v>857</v>
      </c>
      <c r="F91" s="1110" t="s">
        <v>220</v>
      </c>
      <c r="G91" s="1110" t="s">
        <v>764</v>
      </c>
      <c r="H91" s="1413"/>
      <c r="I91" s="1190">
        <f>'Бюд.р.'!H240</f>
        <v>0</v>
      </c>
      <c r="J91" s="219">
        <v>125</v>
      </c>
      <c r="K91" s="130">
        <v>125</v>
      </c>
      <c r="L91" s="130">
        <v>125</v>
      </c>
      <c r="M91" s="243">
        <v>125</v>
      </c>
    </row>
    <row r="92" spans="1:13" ht="23.25" customHeight="1" hidden="1">
      <c r="A92" s="134" t="s">
        <v>722</v>
      </c>
      <c r="B92" s="1898" t="s">
        <v>749</v>
      </c>
      <c r="C92" s="1960" t="s">
        <v>559</v>
      </c>
      <c r="D92" s="1921" t="s">
        <v>591</v>
      </c>
      <c r="E92" s="1106" t="s">
        <v>411</v>
      </c>
      <c r="F92" s="1136" t="s">
        <v>461</v>
      </c>
      <c r="G92" s="1106"/>
      <c r="H92" s="1599"/>
      <c r="I92" s="1192">
        <f>I93</f>
        <v>0</v>
      </c>
      <c r="J92" s="218">
        <f>J93</f>
        <v>0</v>
      </c>
      <c r="K92" s="127">
        <f>K93</f>
        <v>0</v>
      </c>
      <c r="L92" s="127">
        <f>L93</f>
        <v>0</v>
      </c>
      <c r="M92" s="242">
        <f>M93</f>
        <v>0</v>
      </c>
    </row>
    <row r="93" spans="1:13" ht="16.5" customHeight="1" hidden="1">
      <c r="A93" s="135" t="s">
        <v>617</v>
      </c>
      <c r="B93" s="1629" t="s">
        <v>136</v>
      </c>
      <c r="C93" s="1943" t="s">
        <v>415</v>
      </c>
      <c r="D93" s="1718" t="s">
        <v>591</v>
      </c>
      <c r="E93" s="1110" t="s">
        <v>411</v>
      </c>
      <c r="F93" s="1110" t="s">
        <v>461</v>
      </c>
      <c r="G93" s="1110" t="s">
        <v>764</v>
      </c>
      <c r="H93" s="1413"/>
      <c r="I93" s="1190"/>
      <c r="J93" s="219">
        <v>0</v>
      </c>
      <c r="K93" s="130">
        <v>0</v>
      </c>
      <c r="L93" s="130">
        <v>0</v>
      </c>
      <c r="M93" s="243">
        <v>0</v>
      </c>
    </row>
    <row r="94" spans="1:13" ht="13.5" customHeight="1" hidden="1">
      <c r="A94" s="135"/>
      <c r="B94" s="1629" t="s">
        <v>10</v>
      </c>
      <c r="C94" s="1943" t="s">
        <v>864</v>
      </c>
      <c r="D94" s="1718" t="s">
        <v>591</v>
      </c>
      <c r="E94" s="1110" t="s">
        <v>857</v>
      </c>
      <c r="F94" s="1110" t="s">
        <v>220</v>
      </c>
      <c r="G94" s="1110">
        <f>'Бюд.р.'!F244</f>
        <v>630</v>
      </c>
      <c r="H94" s="1413"/>
      <c r="I94" s="1190">
        <f>'Бюд.р.'!H244</f>
        <v>0</v>
      </c>
      <c r="J94" s="219"/>
      <c r="K94" s="130"/>
      <c r="L94" s="130"/>
      <c r="M94" s="243"/>
    </row>
    <row r="95" spans="1:13" ht="28.5" customHeight="1">
      <c r="A95" s="135"/>
      <c r="B95" s="1898" t="s">
        <v>738</v>
      </c>
      <c r="C95" s="1951" t="str">
        <f>'Бюд.р.'!A247</f>
        <v>РАСХОДЫ НА ОСУЩЕСТВЛЕНИЕ ЗАКУПОК ТОВАРОВ, РАБОТ, УСЛУГ ДЛЯ ОБЕСПЕЧЕНИЯ МУНИЦИПАЛЬНЫХ НУЖД</v>
      </c>
      <c r="D95" s="1925">
        <v>968</v>
      </c>
      <c r="E95" s="2097" t="s">
        <v>857</v>
      </c>
      <c r="F95" s="1122" t="str">
        <f>F96</f>
        <v>092 02 00</v>
      </c>
      <c r="G95" s="1122"/>
      <c r="H95" s="1982"/>
      <c r="I95" s="1193">
        <f>I96</f>
        <v>120</v>
      </c>
      <c r="J95" s="219"/>
      <c r="K95" s="130"/>
      <c r="L95" s="130"/>
      <c r="M95" s="243"/>
    </row>
    <row r="96" spans="1:13" ht="24.75" customHeight="1">
      <c r="A96" s="135"/>
      <c r="B96" s="1629" t="s">
        <v>10</v>
      </c>
      <c r="C96" s="1954" t="str">
        <f>'Бюд.р.'!A248</f>
        <v>Закупка товаров, работ и услуг  для государственных (муниципальных) нужд</v>
      </c>
      <c r="D96" s="1926">
        <v>968</v>
      </c>
      <c r="E96" s="2098" t="s">
        <v>857</v>
      </c>
      <c r="F96" s="1124" t="s">
        <v>556</v>
      </c>
      <c r="G96" s="1124">
        <f>'Бюд.р.'!F248</f>
        <v>200</v>
      </c>
      <c r="H96" s="1424"/>
      <c r="I96" s="1194">
        <f>'Бюд.р.'!H249</f>
        <v>120</v>
      </c>
      <c r="J96" s="219"/>
      <c r="K96" s="130"/>
      <c r="L96" s="130"/>
      <c r="M96" s="243"/>
    </row>
    <row r="97" spans="1:13" ht="36.75" customHeight="1">
      <c r="A97" s="146"/>
      <c r="B97" s="1898" t="s">
        <v>146</v>
      </c>
      <c r="C97" s="1951" t="s">
        <v>940</v>
      </c>
      <c r="D97" s="1924">
        <v>968</v>
      </c>
      <c r="E97" s="2102" t="s">
        <v>857</v>
      </c>
      <c r="F97" s="1120" t="str">
        <f>F98</f>
        <v>092 05 00</v>
      </c>
      <c r="G97" s="1110"/>
      <c r="H97" s="1413"/>
      <c r="I97" s="1192">
        <f>I98</f>
        <v>72</v>
      </c>
      <c r="J97" s="220"/>
      <c r="K97" s="176"/>
      <c r="L97" s="176"/>
      <c r="M97" s="210"/>
    </row>
    <row r="98" spans="1:13" ht="15" customHeight="1">
      <c r="A98" s="146"/>
      <c r="B98" s="1629" t="s">
        <v>147</v>
      </c>
      <c r="C98" s="1954" t="str">
        <f>'Бюд.р.'!A253</f>
        <v>Иные бюджетные ассигнования</v>
      </c>
      <c r="D98" s="1718" t="s">
        <v>591</v>
      </c>
      <c r="E98" s="1110" t="s">
        <v>857</v>
      </c>
      <c r="F98" s="1110" t="s">
        <v>470</v>
      </c>
      <c r="G98" s="1110">
        <f>'Бюд.р.'!F253</f>
        <v>800</v>
      </c>
      <c r="H98" s="1413"/>
      <c r="I98" s="1190">
        <f>'Бюд.р.'!H254</f>
        <v>72</v>
      </c>
      <c r="J98" s="220"/>
      <c r="K98" s="176"/>
      <c r="L98" s="176"/>
      <c r="M98" s="210"/>
    </row>
    <row r="99" spans="1:13" ht="46.5" customHeight="1">
      <c r="A99" s="146"/>
      <c r="B99" s="1898" t="s">
        <v>1068</v>
      </c>
      <c r="C99" s="1951" t="s">
        <v>941</v>
      </c>
      <c r="D99" s="1925">
        <v>968</v>
      </c>
      <c r="E99" s="2097" t="s">
        <v>857</v>
      </c>
      <c r="F99" s="1122" t="str">
        <f>F100</f>
        <v>092 06 00</v>
      </c>
      <c r="G99" s="1122"/>
      <c r="H99" s="1982"/>
      <c r="I99" s="1193">
        <f>I100</f>
        <v>144</v>
      </c>
      <c r="J99" s="220"/>
      <c r="K99" s="176"/>
      <c r="L99" s="176"/>
      <c r="M99" s="210"/>
    </row>
    <row r="100" spans="1:13" ht="26.25" customHeight="1">
      <c r="A100" s="146"/>
      <c r="B100" s="1629" t="s">
        <v>1069</v>
      </c>
      <c r="C100" s="1954" t="str">
        <f>'Бюд.р.'!A258</f>
        <v>Закупка товаров, работ и услуг  для государственных (муниципальных) нужд</v>
      </c>
      <c r="D100" s="1926">
        <v>968</v>
      </c>
      <c r="E100" s="2098" t="s">
        <v>857</v>
      </c>
      <c r="F100" s="1124" t="s">
        <v>942</v>
      </c>
      <c r="G100" s="1124">
        <f>'Бюд.р.'!F258</f>
        <v>200</v>
      </c>
      <c r="H100" s="1424"/>
      <c r="I100" s="1194">
        <f>'Бюд.р.'!H259</f>
        <v>144</v>
      </c>
      <c r="J100" s="220"/>
      <c r="K100" s="176"/>
      <c r="L100" s="176"/>
      <c r="M100" s="210"/>
    </row>
    <row r="101" spans="1:13" ht="20.25" customHeight="1">
      <c r="A101" s="146"/>
      <c r="B101" s="1898" t="s">
        <v>1070</v>
      </c>
      <c r="C101" s="1952" t="str">
        <f>'Бюд.р.'!A268</f>
        <v>РАСХОДЫ НА ОСУЩЕСТВЛЕНИЕ ЗАЩИТЫ ПРАВ ПОТРЕБИТЕЛЕЙ</v>
      </c>
      <c r="D101" s="2458">
        <f>'Бюд.р.'!B268</f>
        <v>968</v>
      </c>
      <c r="E101" s="2097" t="s">
        <v>857</v>
      </c>
      <c r="F101" s="1122" t="str">
        <f>'Бюд.р.'!D268</f>
        <v>092 10 00</v>
      </c>
      <c r="G101" s="1122"/>
      <c r="H101" s="1982"/>
      <c r="I101" s="1193">
        <f>I102</f>
        <v>44.999999999999986</v>
      </c>
      <c r="J101" s="220"/>
      <c r="K101" s="176"/>
      <c r="L101" s="176"/>
      <c r="M101" s="210"/>
    </row>
    <row r="102" spans="1:13" ht="26.25" customHeight="1">
      <c r="A102" s="146"/>
      <c r="B102" s="1629" t="s">
        <v>1071</v>
      </c>
      <c r="C102" s="1954" t="str">
        <f>'Бюд.р.'!A269</f>
        <v>Закупка товаров, работ и услуг  для государственных (муниципальных) нужд</v>
      </c>
      <c r="D102" s="1926">
        <f>'Бюд.р.'!B269</f>
        <v>968</v>
      </c>
      <c r="E102" s="2098" t="s">
        <v>857</v>
      </c>
      <c r="F102" s="1124" t="str">
        <f>'Бюд.р.'!D269</f>
        <v>092 10 00</v>
      </c>
      <c r="G102" s="1124">
        <f>'Бюд.р.'!F269</f>
        <v>200</v>
      </c>
      <c r="H102" s="1424"/>
      <c r="I102" s="1194">
        <f>'Бюд.р.'!H269</f>
        <v>44.999999999999986</v>
      </c>
      <c r="J102" s="220"/>
      <c r="K102" s="176"/>
      <c r="L102" s="176"/>
      <c r="M102" s="210"/>
    </row>
    <row r="103" spans="1:13" ht="22.5">
      <c r="A103" s="146"/>
      <c r="B103" s="1898" t="s">
        <v>1382</v>
      </c>
      <c r="C103" s="1951" t="s">
        <v>947</v>
      </c>
      <c r="D103" s="1924">
        <v>968</v>
      </c>
      <c r="E103" s="2102" t="s">
        <v>857</v>
      </c>
      <c r="F103" s="1120" t="str">
        <f>F104</f>
        <v>795 02 00</v>
      </c>
      <c r="G103" s="1884"/>
      <c r="H103" s="1600"/>
      <c r="I103" s="1192">
        <f>I104</f>
        <v>80.642</v>
      </c>
      <c r="J103" s="220"/>
      <c r="K103" s="176"/>
      <c r="L103" s="176"/>
      <c r="M103" s="210"/>
    </row>
    <row r="104" spans="1:13" ht="25.5" customHeight="1">
      <c r="A104" s="146"/>
      <c r="B104" s="1629" t="s">
        <v>1383</v>
      </c>
      <c r="C104" s="1954" t="str">
        <f>'Бюд.р.'!A274</f>
        <v>Закупка товаров, работ и услуг  для государственных (муниципальных) нужд</v>
      </c>
      <c r="D104" s="1926">
        <v>968</v>
      </c>
      <c r="E104" s="2098" t="s">
        <v>857</v>
      </c>
      <c r="F104" s="1124" t="s">
        <v>945</v>
      </c>
      <c r="G104" s="1124">
        <f>'Бюд.р.'!F274</f>
        <v>200</v>
      </c>
      <c r="H104" s="1424"/>
      <c r="I104" s="1194">
        <f>'Бюд.р.'!H275</f>
        <v>80.642</v>
      </c>
      <c r="J104" s="220"/>
      <c r="K104" s="176"/>
      <c r="L104" s="176"/>
      <c r="M104" s="210"/>
    </row>
    <row r="105" spans="1:13" ht="25.5" hidden="1">
      <c r="A105" s="146"/>
      <c r="B105" s="1897" t="s">
        <v>608</v>
      </c>
      <c r="C105" s="1945" t="s">
        <v>227</v>
      </c>
      <c r="D105" s="1919" t="s">
        <v>591</v>
      </c>
      <c r="E105" s="1879" t="s">
        <v>469</v>
      </c>
      <c r="F105" s="1879"/>
      <c r="G105" s="1885"/>
      <c r="H105" s="1991"/>
      <c r="I105" s="2006">
        <f>I108</f>
        <v>227.635</v>
      </c>
      <c r="J105" s="224" t="e">
        <f>J108</f>
        <v>#REF!</v>
      </c>
      <c r="K105" s="209" t="e">
        <f>K108</f>
        <v>#REF!</v>
      </c>
      <c r="L105" s="209" t="e">
        <f>L108</f>
        <v>#REF!</v>
      </c>
      <c r="M105" s="247" t="e">
        <f>M108</f>
        <v>#REF!</v>
      </c>
    </row>
    <row r="106" spans="1:13" ht="60" customHeight="1">
      <c r="A106" s="146"/>
      <c r="B106" s="1898" t="s">
        <v>1384</v>
      </c>
      <c r="C106" s="1951" t="str">
        <f>'Бюд.р.'!A280</f>
        <v>Ведомственная целевая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и информировании населения о вреде потребления табака и вредном воздействии окружающего табачного дыма</v>
      </c>
      <c r="D106" s="1924">
        <v>968</v>
      </c>
      <c r="E106" s="2102" t="s">
        <v>857</v>
      </c>
      <c r="F106" s="1120" t="str">
        <f>'Бюд.р.'!D280</f>
        <v>795 11 00</v>
      </c>
      <c r="G106" s="1884"/>
      <c r="H106" s="1600"/>
      <c r="I106" s="1192">
        <f>I107</f>
        <v>103.65199999999999</v>
      </c>
      <c r="J106" s="224"/>
      <c r="K106" s="209"/>
      <c r="L106" s="209"/>
      <c r="M106" s="247"/>
    </row>
    <row r="107" spans="1:13" ht="22.5">
      <c r="A107" s="146"/>
      <c r="B107" s="1629" t="s">
        <v>1385</v>
      </c>
      <c r="C107" s="1954" t="str">
        <f>'Бюд.р.'!A281</f>
        <v>Закупка товаров, работ и услуг  для государственных (муниципальных) нужд</v>
      </c>
      <c r="D107" s="1926">
        <v>968</v>
      </c>
      <c r="E107" s="2098" t="s">
        <v>857</v>
      </c>
      <c r="F107" s="1124" t="str">
        <f>'Бюд.р.'!D281</f>
        <v>795 11 00</v>
      </c>
      <c r="G107" s="1124">
        <f>'Бюд.р.'!F281</f>
        <v>200</v>
      </c>
      <c r="H107" s="1424"/>
      <c r="I107" s="1194">
        <f>'Бюд.р.'!H281</f>
        <v>103.65199999999999</v>
      </c>
      <c r="J107" s="224"/>
      <c r="K107" s="209"/>
      <c r="L107" s="209"/>
      <c r="M107" s="247"/>
    </row>
    <row r="108" spans="1:13" ht="40.5" customHeight="1">
      <c r="A108" s="146"/>
      <c r="B108" s="2054" t="s">
        <v>297</v>
      </c>
      <c r="C108" s="2055" t="s">
        <v>856</v>
      </c>
      <c r="D108" s="2056" t="s">
        <v>591</v>
      </c>
      <c r="E108" s="2057" t="s">
        <v>408</v>
      </c>
      <c r="F108" s="2071"/>
      <c r="G108" s="2071"/>
      <c r="H108" s="2072"/>
      <c r="I108" s="2059">
        <f>I119+I127</f>
        <v>227.635</v>
      </c>
      <c r="J108" s="223" t="e">
        <f>#REF!+#REF!</f>
        <v>#REF!</v>
      </c>
      <c r="K108" s="207" t="e">
        <f>#REF!+#REF!</f>
        <v>#REF!</v>
      </c>
      <c r="L108" s="207" t="e">
        <f>#REF!+#REF!</f>
        <v>#REF!</v>
      </c>
      <c r="M108" s="246" t="e">
        <f>#REF!+#REF!</f>
        <v>#REF!</v>
      </c>
    </row>
    <row r="109" spans="1:13" ht="12.75" hidden="1">
      <c r="A109" s="146"/>
      <c r="B109" s="1906"/>
      <c r="C109" s="1947" t="s">
        <v>240</v>
      </c>
      <c r="D109" s="1923"/>
      <c r="E109" s="1113" t="s">
        <v>439</v>
      </c>
      <c r="F109" s="1113" t="s">
        <v>781</v>
      </c>
      <c r="G109" s="1113" t="s">
        <v>765</v>
      </c>
      <c r="H109" s="1978" t="s">
        <v>241</v>
      </c>
      <c r="I109" s="1191"/>
      <c r="J109" s="220"/>
      <c r="K109" s="176"/>
      <c r="L109" s="176"/>
      <c r="M109" s="210"/>
    </row>
    <row r="110" spans="1:13" ht="12.75" hidden="1">
      <c r="A110" s="146"/>
      <c r="B110" s="1906"/>
      <c r="C110" s="1948" t="s">
        <v>260</v>
      </c>
      <c r="D110" s="1923"/>
      <c r="E110" s="1116" t="s">
        <v>439</v>
      </c>
      <c r="F110" s="1116" t="s">
        <v>781</v>
      </c>
      <c r="G110" s="1116" t="s">
        <v>765</v>
      </c>
      <c r="H110" s="1980" t="s">
        <v>451</v>
      </c>
      <c r="I110" s="1191"/>
      <c r="J110" s="220"/>
      <c r="K110" s="176"/>
      <c r="L110" s="176"/>
      <c r="M110" s="210"/>
    </row>
    <row r="111" spans="1:13" ht="12.75" hidden="1">
      <c r="A111" s="146"/>
      <c r="B111" s="1906"/>
      <c r="C111" s="1961" t="s">
        <v>115</v>
      </c>
      <c r="D111" s="1923"/>
      <c r="E111" s="1116" t="s">
        <v>439</v>
      </c>
      <c r="F111" s="1116" t="s">
        <v>781</v>
      </c>
      <c r="G111" s="1116" t="s">
        <v>765</v>
      </c>
      <c r="H111" s="1980" t="s">
        <v>763</v>
      </c>
      <c r="I111" s="1191"/>
      <c r="J111" s="220"/>
      <c r="K111" s="176"/>
      <c r="L111" s="176"/>
      <c r="M111" s="210"/>
    </row>
    <row r="112" spans="1:13" ht="27.75" customHeight="1" hidden="1" thickBot="1">
      <c r="A112" s="134" t="s">
        <v>749</v>
      </c>
      <c r="B112" s="1899"/>
      <c r="C112" s="1955" t="s">
        <v>725</v>
      </c>
      <c r="D112" s="1921"/>
      <c r="E112" s="1106" t="s">
        <v>439</v>
      </c>
      <c r="F112" s="1106" t="s">
        <v>558</v>
      </c>
      <c r="G112" s="1106"/>
      <c r="H112" s="1599"/>
      <c r="I112" s="1191"/>
      <c r="J112" s="220"/>
      <c r="K112" s="176"/>
      <c r="L112" s="176"/>
      <c r="M112" s="210"/>
    </row>
    <row r="113" spans="1:13" ht="12.75" hidden="1">
      <c r="A113" s="135" t="s">
        <v>750</v>
      </c>
      <c r="B113" s="1899"/>
      <c r="C113" s="1947" t="s">
        <v>150</v>
      </c>
      <c r="D113" s="1932"/>
      <c r="E113" s="1132" t="s">
        <v>439</v>
      </c>
      <c r="F113" s="1132" t="s">
        <v>558</v>
      </c>
      <c r="G113" s="1132" t="s">
        <v>765</v>
      </c>
      <c r="H113" s="1412"/>
      <c r="I113" s="1191"/>
      <c r="J113" s="220"/>
      <c r="K113" s="176"/>
      <c r="L113" s="176"/>
      <c r="M113" s="210"/>
    </row>
    <row r="114" spans="1:13" ht="12.75" hidden="1">
      <c r="A114" s="138" t="s">
        <v>726</v>
      </c>
      <c r="B114" s="1628"/>
      <c r="C114" s="1947" t="s">
        <v>240</v>
      </c>
      <c r="D114" s="1934"/>
      <c r="E114" s="1113" t="s">
        <v>439</v>
      </c>
      <c r="F114" s="1113" t="s">
        <v>558</v>
      </c>
      <c r="G114" s="1113" t="s">
        <v>765</v>
      </c>
      <c r="H114" s="1978" t="s">
        <v>241</v>
      </c>
      <c r="I114" s="1191"/>
      <c r="J114" s="220"/>
      <c r="K114" s="176"/>
      <c r="L114" s="176"/>
      <c r="M114" s="210"/>
    </row>
    <row r="115" spans="1:13" ht="12.75" hidden="1">
      <c r="A115" s="139" t="s">
        <v>727</v>
      </c>
      <c r="B115" s="1629"/>
      <c r="C115" s="1948" t="s">
        <v>260</v>
      </c>
      <c r="D115" s="1922"/>
      <c r="E115" s="1116" t="s">
        <v>439</v>
      </c>
      <c r="F115" s="1116" t="s">
        <v>558</v>
      </c>
      <c r="G115" s="1116" t="s">
        <v>765</v>
      </c>
      <c r="H115" s="1980" t="s">
        <v>451</v>
      </c>
      <c r="I115" s="1191"/>
      <c r="J115" s="220"/>
      <c r="K115" s="176"/>
      <c r="L115" s="176"/>
      <c r="M115" s="210"/>
    </row>
    <row r="116" spans="1:13" ht="12.75" hidden="1">
      <c r="A116" s="144" t="s">
        <v>185</v>
      </c>
      <c r="B116" s="1905"/>
      <c r="C116" s="1961" t="s">
        <v>115</v>
      </c>
      <c r="D116" s="1922"/>
      <c r="E116" s="1116" t="s">
        <v>439</v>
      </c>
      <c r="F116" s="1116" t="s">
        <v>558</v>
      </c>
      <c r="G116" s="1116" t="s">
        <v>765</v>
      </c>
      <c r="H116" s="1980" t="s">
        <v>763</v>
      </c>
      <c r="I116" s="1191"/>
      <c r="J116" s="220"/>
      <c r="K116" s="176"/>
      <c r="L116" s="176"/>
      <c r="M116" s="210"/>
    </row>
    <row r="117" spans="1:13" ht="32.25" hidden="1" thickBot="1">
      <c r="A117" s="132" t="s">
        <v>608</v>
      </c>
      <c r="B117" s="1896"/>
      <c r="C117" s="1962" t="s">
        <v>227</v>
      </c>
      <c r="D117" s="1935"/>
      <c r="E117" s="1139" t="s">
        <v>257</v>
      </c>
      <c r="F117" s="1139"/>
      <c r="G117" s="1139"/>
      <c r="H117" s="1992"/>
      <c r="I117" s="1191"/>
      <c r="J117" s="220"/>
      <c r="K117" s="176"/>
      <c r="L117" s="176"/>
      <c r="M117" s="210"/>
    </row>
    <row r="118" spans="1:16" ht="40.5" customHeight="1" hidden="1" thickBot="1">
      <c r="A118" s="133" t="s">
        <v>103</v>
      </c>
      <c r="B118" s="1899"/>
      <c r="C118" s="1963" t="s">
        <v>736</v>
      </c>
      <c r="D118" s="1931"/>
      <c r="E118" s="1118" t="s">
        <v>265</v>
      </c>
      <c r="F118" s="1118"/>
      <c r="G118" s="1118"/>
      <c r="H118" s="1981"/>
      <c r="I118" s="1191"/>
      <c r="J118" s="220"/>
      <c r="K118" s="176"/>
      <c r="L118" s="176"/>
      <c r="M118" s="210"/>
      <c r="N118" s="95"/>
      <c r="O118" s="95"/>
      <c r="P118" s="95"/>
    </row>
    <row r="119" spans="1:13" ht="118.5" customHeight="1">
      <c r="A119" s="134"/>
      <c r="B119" s="1898" t="s">
        <v>98</v>
      </c>
      <c r="C119" s="1951" t="str">
        <f>'Бюд.р.'!A288</f>
        <v>Ведомственная целевая программа  по осуществлению содействия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ЧС, а также содействия в информировании населения  об угрозе возникновения или возникновении чрезвычайной ситуации; по проведению подготовки и обучения неработающего населения способам защиты и действиям в чрезвычайных ситуациях, а так же способам защиты от опасностей, возникающих при ведении военных действий или вследствие этих действий</v>
      </c>
      <c r="D119" s="1933">
        <v>968</v>
      </c>
      <c r="E119" s="2106" t="s">
        <v>408</v>
      </c>
      <c r="F119" s="1134" t="str">
        <f>F120</f>
        <v>795 03 00</v>
      </c>
      <c r="G119" s="1106"/>
      <c r="H119" s="1599"/>
      <c r="I119" s="1196">
        <f>I120</f>
        <v>141.993</v>
      </c>
      <c r="J119" s="218"/>
      <c r="K119" s="127"/>
      <c r="L119" s="127"/>
      <c r="M119" s="242"/>
    </row>
    <row r="120" spans="1:13" ht="25.5" customHeight="1">
      <c r="A120" s="134"/>
      <c r="B120" s="1907" t="s">
        <v>1033</v>
      </c>
      <c r="C120" s="1954" t="str">
        <f>'Бюд.р.'!A289</f>
        <v>Закупка товаров, работ и услуг  для государственных (муниципальных) нужд</v>
      </c>
      <c r="D120" s="1926">
        <v>968</v>
      </c>
      <c r="E120" s="2098" t="s">
        <v>408</v>
      </c>
      <c r="F120" s="1124" t="str">
        <f>'Бюд.р.'!D290</f>
        <v>795 03 00</v>
      </c>
      <c r="G120" s="1482">
        <f>'Бюд.р.'!F289</f>
        <v>200</v>
      </c>
      <c r="H120" s="1424"/>
      <c r="I120" s="1194">
        <f>'Бюд.р.'!H290</f>
        <v>141.993</v>
      </c>
      <c r="J120" s="218"/>
      <c r="K120" s="127"/>
      <c r="L120" s="127"/>
      <c r="M120" s="242"/>
    </row>
    <row r="121" spans="1:13" ht="12.75" hidden="1">
      <c r="A121" s="147" t="s">
        <v>183</v>
      </c>
      <c r="B121" s="1898"/>
      <c r="C121" s="1947" t="s">
        <v>240</v>
      </c>
      <c r="D121" s="1934"/>
      <c r="E121" s="2100" t="s">
        <v>265</v>
      </c>
      <c r="F121" s="1113" t="s">
        <v>677</v>
      </c>
      <c r="G121" s="1113" t="s">
        <v>242</v>
      </c>
      <c r="H121" s="1978" t="s">
        <v>241</v>
      </c>
      <c r="I121" s="1191"/>
      <c r="J121" s="220"/>
      <c r="K121" s="176"/>
      <c r="L121" s="176"/>
      <c r="M121" s="210"/>
    </row>
    <row r="122" spans="1:13" ht="15" customHeight="1" hidden="1" thickBot="1">
      <c r="A122" s="143" t="s">
        <v>651</v>
      </c>
      <c r="B122" s="1907"/>
      <c r="C122" s="1949" t="s">
        <v>224</v>
      </c>
      <c r="D122" s="1923"/>
      <c r="E122" s="1552" t="s">
        <v>265</v>
      </c>
      <c r="F122" s="1116" t="s">
        <v>677</v>
      </c>
      <c r="G122" s="1116" t="s">
        <v>242</v>
      </c>
      <c r="H122" s="1980" t="s">
        <v>264</v>
      </c>
      <c r="I122" s="1191"/>
      <c r="J122" s="220"/>
      <c r="K122" s="176"/>
      <c r="L122" s="176"/>
      <c r="M122" s="210"/>
    </row>
    <row r="123" spans="1:13" ht="45.75" customHeight="1" hidden="1">
      <c r="A123" s="143"/>
      <c r="B123" s="1628" t="s">
        <v>139</v>
      </c>
      <c r="C123" s="1951" t="s">
        <v>28</v>
      </c>
      <c r="D123" s="1933">
        <v>968</v>
      </c>
      <c r="E123" s="2106">
        <v>309</v>
      </c>
      <c r="F123" s="1134" t="s">
        <v>13</v>
      </c>
      <c r="G123" s="1140"/>
      <c r="H123" s="1980"/>
      <c r="I123" s="1196">
        <f>I124</f>
        <v>0</v>
      </c>
      <c r="J123" s="220"/>
      <c r="K123" s="176"/>
      <c r="L123" s="176"/>
      <c r="M123" s="210"/>
    </row>
    <row r="124" spans="1:13" ht="15" customHeight="1" hidden="1">
      <c r="A124" s="143"/>
      <c r="B124" s="1629" t="s">
        <v>144</v>
      </c>
      <c r="C124" s="1954" t="s">
        <v>415</v>
      </c>
      <c r="D124" s="1926">
        <v>968</v>
      </c>
      <c r="E124" s="2098">
        <v>309</v>
      </c>
      <c r="F124" s="1124" t="s">
        <v>13</v>
      </c>
      <c r="G124" s="1124">
        <v>500</v>
      </c>
      <c r="H124" s="1984"/>
      <c r="I124" s="1194">
        <f>'Бюд.р.'!H299</f>
        <v>0</v>
      </c>
      <c r="J124" s="220"/>
      <c r="K124" s="176"/>
      <c r="L124" s="176"/>
      <c r="M124" s="210"/>
    </row>
    <row r="125" spans="1:13" ht="47.25" customHeight="1" hidden="1">
      <c r="A125" s="134"/>
      <c r="B125" s="1898"/>
      <c r="C125" s="1951"/>
      <c r="D125" s="1924"/>
      <c r="E125" s="2102"/>
      <c r="F125" s="1120"/>
      <c r="G125" s="1106"/>
      <c r="H125" s="1599"/>
      <c r="I125" s="1192"/>
      <c r="J125" s="218"/>
      <c r="K125" s="127"/>
      <c r="L125" s="127"/>
      <c r="M125" s="242"/>
    </row>
    <row r="126" spans="1:13" ht="13.5" customHeight="1" hidden="1">
      <c r="A126" s="135" t="s">
        <v>679</v>
      </c>
      <c r="B126" s="1629"/>
      <c r="C126" s="1943"/>
      <c r="D126" s="1718"/>
      <c r="E126" s="1880"/>
      <c r="F126" s="1110"/>
      <c r="G126" s="1110"/>
      <c r="H126" s="1413"/>
      <c r="I126" s="1190"/>
      <c r="J126" s="219"/>
      <c r="K126" s="130">
        <v>25</v>
      </c>
      <c r="L126" s="130"/>
      <c r="M126" s="243">
        <v>25</v>
      </c>
    </row>
    <row r="127" spans="1:13" ht="46.5" customHeight="1">
      <c r="A127" s="133"/>
      <c r="B127" s="1898" t="s">
        <v>1073</v>
      </c>
      <c r="C127" s="1951" t="s">
        <v>949</v>
      </c>
      <c r="D127" s="1924">
        <v>968</v>
      </c>
      <c r="E127" s="2102" t="s">
        <v>408</v>
      </c>
      <c r="F127" s="1120" t="str">
        <f>F128</f>
        <v>795 05 00</v>
      </c>
      <c r="G127" s="1106"/>
      <c r="H127" s="1599"/>
      <c r="I127" s="1192">
        <f>I128</f>
        <v>85.642</v>
      </c>
      <c r="J127" s="220"/>
      <c r="K127" s="176"/>
      <c r="L127" s="176"/>
      <c r="M127" s="210"/>
    </row>
    <row r="128" spans="1:13" ht="29.25" customHeight="1">
      <c r="A128" s="133"/>
      <c r="B128" s="1629" t="s">
        <v>1074</v>
      </c>
      <c r="C128" s="1954" t="str">
        <f>'Бюд.р.'!A310</f>
        <v>Закупка товаров, работ и услуг  для государственных (муниципальных) нужд</v>
      </c>
      <c r="D128" s="1718" t="s">
        <v>591</v>
      </c>
      <c r="E128" s="1110" t="s">
        <v>408</v>
      </c>
      <c r="F128" s="1110" t="s">
        <v>15</v>
      </c>
      <c r="G128" s="1110">
        <f>'Бюд.р.'!F310</f>
        <v>200</v>
      </c>
      <c r="H128" s="1413"/>
      <c r="I128" s="1190">
        <f>'Бюд.р.'!H311</f>
        <v>85.642</v>
      </c>
      <c r="J128" s="220"/>
      <c r="K128" s="176"/>
      <c r="L128" s="176"/>
      <c r="M128" s="210"/>
    </row>
    <row r="129" spans="1:13" ht="12.75" hidden="1">
      <c r="A129" s="133"/>
      <c r="B129" s="1897" t="s">
        <v>609</v>
      </c>
      <c r="C129" s="1945" t="s">
        <v>817</v>
      </c>
      <c r="D129" s="1919" t="s">
        <v>591</v>
      </c>
      <c r="E129" s="1879" t="s">
        <v>829</v>
      </c>
      <c r="F129" s="1879"/>
      <c r="G129" s="1885"/>
      <c r="H129" s="1991"/>
      <c r="I129" s="2006">
        <f>I130++I133+I136</f>
        <v>172.414</v>
      </c>
      <c r="J129" s="220"/>
      <c r="K129" s="176"/>
      <c r="L129" s="176"/>
      <c r="M129" s="210"/>
    </row>
    <row r="130" spans="1:13" ht="12.75">
      <c r="A130" s="133"/>
      <c r="B130" s="2054" t="s">
        <v>740</v>
      </c>
      <c r="C130" s="2073" t="s">
        <v>866</v>
      </c>
      <c r="D130" s="2056">
        <v>968</v>
      </c>
      <c r="E130" s="2104" t="s">
        <v>1240</v>
      </c>
      <c r="F130" s="2057"/>
      <c r="G130" s="2057"/>
      <c r="H130" s="2058"/>
      <c r="I130" s="2059">
        <f>I131</f>
        <v>152.414</v>
      </c>
      <c r="J130" s="220"/>
      <c r="K130" s="176"/>
      <c r="L130" s="176"/>
      <c r="M130" s="210"/>
    </row>
    <row r="131" spans="1:13" ht="22.5">
      <c r="A131" s="133"/>
      <c r="B131" s="1899" t="s">
        <v>91</v>
      </c>
      <c r="C131" s="1951" t="str">
        <f>'Бюд.р.'!A317</f>
        <v>ВРЕМЕННОЕ ТРУДОУСТРОЙСТВО НЕСОВЕРШЕННОЛЕТНИХ В ВОЗРАСТЕ ОТ 14 ДО 18 ЛЕТ В СВОБОДНОЕ ОТ УЧЕБЫ ВРЕМЯ</v>
      </c>
      <c r="D131" s="1933">
        <v>968</v>
      </c>
      <c r="E131" s="2106" t="s">
        <v>1240</v>
      </c>
      <c r="F131" s="1134" t="s">
        <v>867</v>
      </c>
      <c r="G131" s="1134"/>
      <c r="H131" s="1599"/>
      <c r="I131" s="1192">
        <f>I132</f>
        <v>152.414</v>
      </c>
      <c r="J131" s="220"/>
      <c r="K131" s="176"/>
      <c r="L131" s="176"/>
      <c r="M131" s="210"/>
    </row>
    <row r="132" spans="1:13" ht="14.25" customHeight="1">
      <c r="A132" s="133"/>
      <c r="B132" s="1629" t="s">
        <v>1034</v>
      </c>
      <c r="C132" s="1954" t="str">
        <f>'Бюд.р.'!A318</f>
        <v>Иные бюджетные ассигнования</v>
      </c>
      <c r="D132" s="1926">
        <v>968</v>
      </c>
      <c r="E132" s="2098" t="s">
        <v>1240</v>
      </c>
      <c r="F132" s="1124" t="str">
        <f>'Бюд.р.'!D319</f>
        <v>510 02 00</v>
      </c>
      <c r="G132" s="1124">
        <f>'Бюд.р.'!F318</f>
        <v>800</v>
      </c>
      <c r="H132" s="1424"/>
      <c r="I132" s="1194">
        <f>'Бюд.р.'!H321</f>
        <v>152.414</v>
      </c>
      <c r="J132" s="220"/>
      <c r="K132" s="176"/>
      <c r="L132" s="176"/>
      <c r="M132" s="210"/>
    </row>
    <row r="133" spans="1:13" ht="16.5" customHeight="1" hidden="1">
      <c r="A133" s="133"/>
      <c r="B133" s="1908" t="s">
        <v>740</v>
      </c>
      <c r="C133" s="1964" t="s">
        <v>988</v>
      </c>
      <c r="D133" s="1936">
        <v>968</v>
      </c>
      <c r="E133" s="1888">
        <v>410</v>
      </c>
      <c r="F133" s="1888"/>
      <c r="G133" s="1888"/>
      <c r="H133" s="1977"/>
      <c r="I133" s="1188">
        <f>I134</f>
        <v>0</v>
      </c>
      <c r="J133" s="220"/>
      <c r="K133" s="176"/>
      <c r="L133" s="176"/>
      <c r="M133" s="210"/>
    </row>
    <row r="134" spans="1:13" ht="17.25" customHeight="1" hidden="1">
      <c r="A134" s="133"/>
      <c r="B134" s="1899" t="s">
        <v>91</v>
      </c>
      <c r="C134" s="1951" t="s">
        <v>990</v>
      </c>
      <c r="D134" s="1933">
        <v>968</v>
      </c>
      <c r="E134" s="1134">
        <v>410</v>
      </c>
      <c r="F134" s="1134" t="s">
        <v>987</v>
      </c>
      <c r="G134" s="1134"/>
      <c r="H134" s="1599"/>
      <c r="I134" s="1192">
        <f>I135</f>
        <v>0</v>
      </c>
      <c r="J134" s="220"/>
      <c r="K134" s="176"/>
      <c r="L134" s="176"/>
      <c r="M134" s="210"/>
    </row>
    <row r="135" spans="1:13" ht="16.5" customHeight="1" hidden="1">
      <c r="A135" s="133"/>
      <c r="B135" s="1629" t="s">
        <v>868</v>
      </c>
      <c r="C135" s="1954" t="s">
        <v>920</v>
      </c>
      <c r="D135" s="1926">
        <v>968</v>
      </c>
      <c r="E135" s="1124">
        <v>410</v>
      </c>
      <c r="F135" s="1124" t="s">
        <v>987</v>
      </c>
      <c r="G135" s="1124">
        <v>240</v>
      </c>
      <c r="H135" s="1424"/>
      <c r="I135" s="1194">
        <f>'Бюд.р.'!H324</f>
        <v>0</v>
      </c>
      <c r="J135" s="220"/>
      <c r="K135" s="176"/>
      <c r="L135" s="176"/>
      <c r="M135" s="210"/>
    </row>
    <row r="136" spans="1:13" ht="21" customHeight="1">
      <c r="A136" s="133"/>
      <c r="B136" s="2054" t="s">
        <v>371</v>
      </c>
      <c r="C136" s="2479" t="s">
        <v>818</v>
      </c>
      <c r="D136" s="2056" t="s">
        <v>591</v>
      </c>
      <c r="E136" s="2057" t="s">
        <v>828</v>
      </c>
      <c r="F136" s="2057"/>
      <c r="G136" s="2057"/>
      <c r="H136" s="2058"/>
      <c r="I136" s="2059">
        <f>I137</f>
        <v>20</v>
      </c>
      <c r="J136" s="220"/>
      <c r="K136" s="176"/>
      <c r="L136" s="176"/>
      <c r="M136" s="210"/>
    </row>
    <row r="137" spans="1:13" ht="25.5" customHeight="1">
      <c r="A137" s="133"/>
      <c r="B137" s="1899" t="s">
        <v>92</v>
      </c>
      <c r="C137" s="1951" t="s">
        <v>820</v>
      </c>
      <c r="D137" s="1924">
        <v>968</v>
      </c>
      <c r="E137" s="2102" t="s">
        <v>828</v>
      </c>
      <c r="F137" s="1120" t="s">
        <v>819</v>
      </c>
      <c r="G137" s="1120"/>
      <c r="H137" s="1599"/>
      <c r="I137" s="1192">
        <f>I138</f>
        <v>20</v>
      </c>
      <c r="J137" s="220"/>
      <c r="K137" s="176"/>
      <c r="L137" s="176"/>
      <c r="M137" s="210"/>
    </row>
    <row r="138" spans="1:13" ht="25.5" customHeight="1">
      <c r="A138" s="133"/>
      <c r="B138" s="1629" t="s">
        <v>93</v>
      </c>
      <c r="C138" s="1954" t="str">
        <f>'Бюд.р.'!A329</f>
        <v>Закупка товаров, работ и услуг  для государственных (муниципальных) нужд</v>
      </c>
      <c r="D138" s="1926">
        <v>968</v>
      </c>
      <c r="E138" s="2098" t="s">
        <v>828</v>
      </c>
      <c r="F138" s="1124" t="str">
        <f>'Бюд.р.'!D330</f>
        <v>795 07 00</v>
      </c>
      <c r="G138" s="1124">
        <f>'Бюд.р.'!F329</f>
        <v>200</v>
      </c>
      <c r="H138" s="1424"/>
      <c r="I138" s="1194">
        <f>'Бюд.р.'!H330</f>
        <v>20</v>
      </c>
      <c r="J138" s="220"/>
      <c r="K138" s="176"/>
      <c r="L138" s="176"/>
      <c r="M138" s="210"/>
    </row>
    <row r="139" spans="1:13" ht="15" hidden="1">
      <c r="A139" s="133"/>
      <c r="B139" s="1897" t="s">
        <v>610</v>
      </c>
      <c r="C139" s="1945" t="s">
        <v>229</v>
      </c>
      <c r="D139" s="1919" t="s">
        <v>591</v>
      </c>
      <c r="E139" s="1879" t="s">
        <v>394</v>
      </c>
      <c r="F139" s="1879"/>
      <c r="G139" s="1879"/>
      <c r="H139" s="1976"/>
      <c r="I139" s="2006">
        <f>I140</f>
        <v>51177.611</v>
      </c>
      <c r="J139" s="224">
        <f>J140</f>
        <v>0</v>
      </c>
      <c r="K139" s="209">
        <f>K140</f>
        <v>10651.100000000002</v>
      </c>
      <c r="L139" s="209">
        <f>L140</f>
        <v>19853.64</v>
      </c>
      <c r="M139" s="247">
        <f>M140</f>
        <v>500</v>
      </c>
    </row>
    <row r="140" spans="1:13" ht="12.75">
      <c r="A140" s="133"/>
      <c r="B140" s="2054" t="s">
        <v>372</v>
      </c>
      <c r="C140" s="2055" t="s">
        <v>395</v>
      </c>
      <c r="D140" s="2056" t="s">
        <v>591</v>
      </c>
      <c r="E140" s="2057" t="s">
        <v>396</v>
      </c>
      <c r="F140" s="2057"/>
      <c r="G140" s="2057"/>
      <c r="H140" s="2058"/>
      <c r="I140" s="2059">
        <f>I141+I160+I167+I177</f>
        <v>51177.611</v>
      </c>
      <c r="J140" s="217">
        <f>J141+J160+J167+J177</f>
        <v>0</v>
      </c>
      <c r="K140" s="93">
        <f>K141+K160+K167+K177</f>
        <v>10651.100000000002</v>
      </c>
      <c r="L140" s="93">
        <f>L141+L160+L167+L177</f>
        <v>19853.64</v>
      </c>
      <c r="M140" s="241">
        <f>M141+M160+M167+M177</f>
        <v>500</v>
      </c>
    </row>
    <row r="141" spans="1:13" ht="21.75" customHeight="1">
      <c r="A141" s="133"/>
      <c r="B141" s="2083" t="s">
        <v>11</v>
      </c>
      <c r="C141" s="2084" t="s">
        <v>966</v>
      </c>
      <c r="D141" s="2085" t="s">
        <v>591</v>
      </c>
      <c r="E141" s="2086" t="s">
        <v>396</v>
      </c>
      <c r="F141" s="2086" t="s">
        <v>397</v>
      </c>
      <c r="G141" s="2086"/>
      <c r="H141" s="2087"/>
      <c r="I141" s="2088">
        <f>I142+I145+I147+I150+I152</f>
        <v>37190.877</v>
      </c>
      <c r="J141" s="94">
        <f>J142+J145+J147+J150+J152</f>
        <v>0</v>
      </c>
      <c r="K141" s="92">
        <f>K142+K145+K147+K150+K152</f>
        <v>4243.200000000001</v>
      </c>
      <c r="L141" s="92">
        <f>L142+L145+L147+L150+L152</f>
        <v>9564.939999999999</v>
      </c>
      <c r="M141" s="211">
        <f>M142+M145+M147+M150+M152</f>
        <v>0</v>
      </c>
    </row>
    <row r="142" spans="1:13" ht="34.5" customHeight="1">
      <c r="A142" s="134" t="s">
        <v>245</v>
      </c>
      <c r="B142" s="1628" t="s">
        <v>12</v>
      </c>
      <c r="C142" s="1503" t="str">
        <f>'Бюд.р.'!A336</f>
        <v>ТЕКУЩИЙ РЕМОНТ ПРИДОМОВЫХ ТЕРРИТОРИЙ И ДВОРОВЫХ ТЕРРИТОРИЙ , ВКЛЮЧАЯ ПРОЕЗДЫ И ВЪЕЗДЫ,ПЕШЕХОДНЫЕ ДОРОЖКИ</v>
      </c>
      <c r="D142" s="1921" t="s">
        <v>591</v>
      </c>
      <c r="E142" s="1106" t="s">
        <v>396</v>
      </c>
      <c r="F142" s="1106" t="s">
        <v>399</v>
      </c>
      <c r="G142" s="1106"/>
      <c r="H142" s="1599"/>
      <c r="I142" s="1192">
        <f>SUM(I143:I144)</f>
        <v>32868.256</v>
      </c>
      <c r="J142" s="218">
        <f>SUM(J143:J143)</f>
        <v>0</v>
      </c>
      <c r="K142" s="127">
        <f>SUM(K143:K143)</f>
        <v>1764.8</v>
      </c>
      <c r="L142" s="127">
        <f>SUM(L143:L143)</f>
        <v>4118</v>
      </c>
      <c r="M142" s="242">
        <f>SUM(M143:M143)</f>
        <v>0</v>
      </c>
    </row>
    <row r="143" spans="1:13" ht="24.75" customHeight="1">
      <c r="A143" s="135" t="s">
        <v>182</v>
      </c>
      <c r="B143" s="1629" t="s">
        <v>1075</v>
      </c>
      <c r="C143" s="1954" t="str">
        <f>'Бюд.р.'!A337</f>
        <v>Закупка товаров, работ и услуг  для государственных (муниципальных) нужд</v>
      </c>
      <c r="D143" s="1718" t="s">
        <v>591</v>
      </c>
      <c r="E143" s="1110" t="s">
        <v>396</v>
      </c>
      <c r="F143" s="1110" t="str">
        <f>'Бюд.р.'!D338</f>
        <v>600 01 01</v>
      </c>
      <c r="G143" s="1110">
        <f>'Бюд.р.'!F337</f>
        <v>200</v>
      </c>
      <c r="H143" s="1413"/>
      <c r="I143" s="1190">
        <f>'Бюд.р.'!H338</f>
        <v>32325.856</v>
      </c>
      <c r="J143" s="219"/>
      <c r="K143" s="130">
        <v>1764.8</v>
      </c>
      <c r="L143" s="130">
        <v>4118</v>
      </c>
      <c r="M143" s="243"/>
    </row>
    <row r="144" spans="1:13" ht="16.5" customHeight="1">
      <c r="A144" s="135"/>
      <c r="B144" s="1629" t="s">
        <v>1387</v>
      </c>
      <c r="C144" s="1954" t="str">
        <f>'Бюд.р.'!A342</f>
        <v>Иные бюджетные ассигнования</v>
      </c>
      <c r="D144" s="1718" t="s">
        <v>591</v>
      </c>
      <c r="E144" s="1110" t="s">
        <v>396</v>
      </c>
      <c r="F144" s="1110" t="str">
        <f>'Бюд.р.'!D339</f>
        <v>600 01 01</v>
      </c>
      <c r="G144" s="1110">
        <f>'Бюд.р.'!F342</f>
        <v>800</v>
      </c>
      <c r="H144" s="1413"/>
      <c r="I144" s="1190">
        <f>'Бюд.р.'!H342</f>
        <v>542.4</v>
      </c>
      <c r="J144" s="219"/>
      <c r="K144" s="130"/>
      <c r="L144" s="130"/>
      <c r="M144" s="243"/>
    </row>
    <row r="145" spans="1:13" ht="24" customHeight="1">
      <c r="A145" s="149"/>
      <c r="B145" s="1628" t="s">
        <v>1076</v>
      </c>
      <c r="C145" s="1503" t="s">
        <v>967</v>
      </c>
      <c r="D145" s="1921" t="s">
        <v>591</v>
      </c>
      <c r="E145" s="1106" t="s">
        <v>396</v>
      </c>
      <c r="F145" s="1106" t="s">
        <v>400</v>
      </c>
      <c r="G145" s="1106"/>
      <c r="H145" s="1978"/>
      <c r="I145" s="1192">
        <f>I146</f>
        <v>369.69800000000004</v>
      </c>
      <c r="J145" s="218">
        <f>J146</f>
        <v>0</v>
      </c>
      <c r="K145" s="127">
        <f>K146</f>
        <v>0</v>
      </c>
      <c r="L145" s="127">
        <f>L146</f>
        <v>0</v>
      </c>
      <c r="M145" s="242">
        <f>M146</f>
        <v>0</v>
      </c>
    </row>
    <row r="146" spans="1:13" ht="22.5" customHeight="1">
      <c r="A146" s="149"/>
      <c r="B146" s="1629" t="s">
        <v>1077</v>
      </c>
      <c r="C146" s="1954" t="str">
        <f>'Бюд.р.'!A347</f>
        <v>Закупка товаров, работ и услуг  для государственных (муниципальных) нужд</v>
      </c>
      <c r="D146" s="1718" t="s">
        <v>591</v>
      </c>
      <c r="E146" s="1110" t="s">
        <v>396</v>
      </c>
      <c r="F146" s="1110" t="str">
        <f>'Бюд.р.'!D348</f>
        <v>600 01 02</v>
      </c>
      <c r="G146" s="1110">
        <f>'Бюд.р.'!F347</f>
        <v>200</v>
      </c>
      <c r="H146" s="1980"/>
      <c r="I146" s="1190">
        <f>'Бюд.р.'!H348</f>
        <v>369.69800000000004</v>
      </c>
      <c r="J146" s="219">
        <v>0</v>
      </c>
      <c r="K146" s="130">
        <v>0</v>
      </c>
      <c r="L146" s="130">
        <v>0</v>
      </c>
      <c r="M146" s="243">
        <v>0</v>
      </c>
    </row>
    <row r="147" spans="1:13" ht="12.75" customHeight="1">
      <c r="A147" s="134" t="s">
        <v>442</v>
      </c>
      <c r="B147" s="1628" t="s">
        <v>1078</v>
      </c>
      <c r="C147" s="1947" t="s">
        <v>29</v>
      </c>
      <c r="D147" s="1921" t="s">
        <v>591</v>
      </c>
      <c r="E147" s="1106" t="s">
        <v>396</v>
      </c>
      <c r="F147" s="1106" t="s">
        <v>401</v>
      </c>
      <c r="G147" s="1106"/>
      <c r="H147" s="1599"/>
      <c r="I147" s="1192">
        <f>SUM(I148:I149)</f>
        <v>2318.251</v>
      </c>
      <c r="J147" s="218">
        <f>SUM(J148:J149)</f>
        <v>0</v>
      </c>
      <c r="K147" s="127">
        <f>SUM(K148:K149)</f>
        <v>1150.8000000000002</v>
      </c>
      <c r="L147" s="127">
        <f>SUM(L148:L149)</f>
        <v>2721.9</v>
      </c>
      <c r="M147" s="242">
        <f>SUM(M148:M149)</f>
        <v>0</v>
      </c>
    </row>
    <row r="148" spans="1:13" ht="22.5" customHeight="1">
      <c r="A148" s="134"/>
      <c r="B148" s="1629" t="s">
        <v>1079</v>
      </c>
      <c r="C148" s="1954" t="str">
        <f>'Бюд.р.'!A352</f>
        <v>Закупка товаров, работ и услуг  для государственных (муниципальных) нужд</v>
      </c>
      <c r="D148" s="1718" t="s">
        <v>591</v>
      </c>
      <c r="E148" s="1110" t="s">
        <v>396</v>
      </c>
      <c r="F148" s="1110" t="str">
        <f>'Бюд.р.'!D353</f>
        <v>600 01 03</v>
      </c>
      <c r="G148" s="1110">
        <f>'Бюд.р.'!F352</f>
        <v>200</v>
      </c>
      <c r="H148" s="1599"/>
      <c r="I148" s="1190">
        <f>'Бюд.р.'!H353</f>
        <v>2318.251</v>
      </c>
      <c r="J148" s="219">
        <v>0</v>
      </c>
      <c r="K148" s="130">
        <v>1096.9</v>
      </c>
      <c r="L148" s="130">
        <v>2596.1</v>
      </c>
      <c r="M148" s="243">
        <v>0</v>
      </c>
    </row>
    <row r="149" spans="1:13" ht="33.75" customHeight="1" hidden="1">
      <c r="A149" s="134"/>
      <c r="B149" s="1629" t="s">
        <v>71</v>
      </c>
      <c r="C149" s="1943" t="s">
        <v>733</v>
      </c>
      <c r="D149" s="1718" t="s">
        <v>591</v>
      </c>
      <c r="E149" s="1110" t="s">
        <v>396</v>
      </c>
      <c r="F149" s="1110" t="s">
        <v>401</v>
      </c>
      <c r="G149" s="1110" t="s">
        <v>462</v>
      </c>
      <c r="H149" s="1599"/>
      <c r="I149" s="1190">
        <f>'Бюд.р.'!H357</f>
        <v>0</v>
      </c>
      <c r="J149" s="219">
        <v>0</v>
      </c>
      <c r="K149" s="130">
        <v>53.9</v>
      </c>
      <c r="L149" s="130">
        <v>125.8</v>
      </c>
      <c r="M149" s="243">
        <v>0</v>
      </c>
    </row>
    <row r="150" spans="1:13" ht="45.75" customHeight="1">
      <c r="A150" s="134"/>
      <c r="B150" s="1628" t="s">
        <v>1080</v>
      </c>
      <c r="C150" s="1947" t="s">
        <v>841</v>
      </c>
      <c r="D150" s="1921" t="s">
        <v>591</v>
      </c>
      <c r="E150" s="1106" t="s">
        <v>396</v>
      </c>
      <c r="F150" s="1106" t="s">
        <v>403</v>
      </c>
      <c r="G150" s="1106"/>
      <c r="H150" s="1599"/>
      <c r="I150" s="1192">
        <f>I151</f>
        <v>1634.6719999999998</v>
      </c>
      <c r="J150" s="218">
        <f>J151</f>
        <v>0</v>
      </c>
      <c r="K150" s="127">
        <f>K151</f>
        <v>0</v>
      </c>
      <c r="L150" s="127">
        <f>L151</f>
        <v>300</v>
      </c>
      <c r="M150" s="242">
        <f>M151</f>
        <v>0</v>
      </c>
    </row>
    <row r="151" spans="1:13" ht="26.25" customHeight="1">
      <c r="A151" s="134"/>
      <c r="B151" s="1629" t="s">
        <v>1081</v>
      </c>
      <c r="C151" s="1954" t="str">
        <f>'Бюд.р.'!A363</f>
        <v>Закупка товаров, работ и услуг  для государственных (муниципальных) нужд</v>
      </c>
      <c r="D151" s="1718" t="s">
        <v>591</v>
      </c>
      <c r="E151" s="1110" t="s">
        <v>396</v>
      </c>
      <c r="F151" s="1110" t="str">
        <f>'Бюд.р.'!D364</f>
        <v>600 01 04</v>
      </c>
      <c r="G151" s="1110">
        <f>'Бюд.р.'!F363</f>
        <v>200</v>
      </c>
      <c r="H151" s="1599"/>
      <c r="I151" s="1190">
        <f>'Бюд.р.'!H364</f>
        <v>1634.6719999999998</v>
      </c>
      <c r="J151" s="219">
        <v>0</v>
      </c>
      <c r="K151" s="130">
        <v>0</v>
      </c>
      <c r="L151" s="130">
        <v>300</v>
      </c>
      <c r="M151" s="243">
        <v>0</v>
      </c>
    </row>
    <row r="152" spans="1:13" ht="21.75" customHeight="1" hidden="1">
      <c r="A152" s="134"/>
      <c r="B152" s="1898" t="s">
        <v>140</v>
      </c>
      <c r="C152" s="1947" t="s">
        <v>405</v>
      </c>
      <c r="D152" s="1921" t="s">
        <v>591</v>
      </c>
      <c r="E152" s="1106" t="s">
        <v>396</v>
      </c>
      <c r="F152" s="1106" t="s">
        <v>406</v>
      </c>
      <c r="G152" s="1106"/>
      <c r="H152" s="1599"/>
      <c r="I152" s="1192">
        <f>I153</f>
        <v>0</v>
      </c>
      <c r="J152" s="218">
        <f>J153</f>
        <v>0</v>
      </c>
      <c r="K152" s="127">
        <f>K153</f>
        <v>1327.6</v>
      </c>
      <c r="L152" s="127">
        <f>L153</f>
        <v>2425.04</v>
      </c>
      <c r="M152" s="242">
        <f>M153</f>
        <v>0</v>
      </c>
    </row>
    <row r="153" spans="1:13" ht="14.25" customHeight="1" hidden="1">
      <c r="A153" s="134"/>
      <c r="B153" s="1629" t="s">
        <v>145</v>
      </c>
      <c r="C153" s="1943" t="s">
        <v>415</v>
      </c>
      <c r="D153" s="1718" t="s">
        <v>591</v>
      </c>
      <c r="E153" s="1110" t="s">
        <v>396</v>
      </c>
      <c r="F153" s="1110" t="s">
        <v>406</v>
      </c>
      <c r="G153" s="1110" t="s">
        <v>764</v>
      </c>
      <c r="H153" s="1599"/>
      <c r="I153" s="1190"/>
      <c r="J153" s="219">
        <v>0</v>
      </c>
      <c r="K153" s="130">
        <v>1327.6</v>
      </c>
      <c r="L153" s="130">
        <v>2425.04</v>
      </c>
      <c r="M153" s="243">
        <v>0</v>
      </c>
    </row>
    <row r="154" spans="1:13" ht="24" hidden="1">
      <c r="A154" s="148" t="s">
        <v>653</v>
      </c>
      <c r="B154" s="1898"/>
      <c r="C154" s="1947" t="s">
        <v>240</v>
      </c>
      <c r="D154" s="1934"/>
      <c r="E154" s="1113" t="s">
        <v>249</v>
      </c>
      <c r="F154" s="1113" t="s">
        <v>36</v>
      </c>
      <c r="G154" s="1113" t="s">
        <v>248</v>
      </c>
      <c r="H154" s="1978" t="s">
        <v>241</v>
      </c>
      <c r="I154" s="1191"/>
      <c r="J154" s="220"/>
      <c r="K154" s="176"/>
      <c r="L154" s="176"/>
      <c r="M154" s="210"/>
    </row>
    <row r="155" spans="1:13" ht="12.75" hidden="1">
      <c r="A155" s="150" t="s">
        <v>651</v>
      </c>
      <c r="B155" s="1638"/>
      <c r="C155" s="1949" t="s">
        <v>224</v>
      </c>
      <c r="D155" s="1923"/>
      <c r="E155" s="1116" t="s">
        <v>249</v>
      </c>
      <c r="F155" s="1116" t="s">
        <v>36</v>
      </c>
      <c r="G155" s="1116" t="s">
        <v>248</v>
      </c>
      <c r="H155" s="1980" t="s">
        <v>264</v>
      </c>
      <c r="I155" s="1191"/>
      <c r="J155" s="220"/>
      <c r="K155" s="176"/>
      <c r="L155" s="176"/>
      <c r="M155" s="210"/>
    </row>
    <row r="156" spans="1:13" ht="109.5" customHeight="1" hidden="1">
      <c r="A156" s="134" t="s">
        <v>654</v>
      </c>
      <c r="B156" s="1899"/>
      <c r="C156" s="1965" t="s">
        <v>728</v>
      </c>
      <c r="D156" s="1921"/>
      <c r="E156" s="1106" t="s">
        <v>249</v>
      </c>
      <c r="F156" s="1106" t="s">
        <v>719</v>
      </c>
      <c r="G156" s="1106"/>
      <c r="H156" s="1599"/>
      <c r="I156" s="1191"/>
      <c r="J156" s="220"/>
      <c r="K156" s="176"/>
      <c r="L156" s="176"/>
      <c r="M156" s="210"/>
    </row>
    <row r="157" spans="1:13" ht="22.5" customHeight="1" hidden="1">
      <c r="A157" s="135" t="s">
        <v>655</v>
      </c>
      <c r="B157" s="1899"/>
      <c r="C157" s="1503" t="s">
        <v>814</v>
      </c>
      <c r="D157" s="1932"/>
      <c r="E157" s="1132" t="s">
        <v>249</v>
      </c>
      <c r="F157" s="1132" t="s">
        <v>719</v>
      </c>
      <c r="G157" s="1132" t="s">
        <v>248</v>
      </c>
      <c r="H157" s="1412"/>
      <c r="I157" s="1191"/>
      <c r="J157" s="220"/>
      <c r="K157" s="176"/>
      <c r="L157" s="176"/>
      <c r="M157" s="210"/>
    </row>
    <row r="158" spans="1:13" ht="12.75" customHeight="1" hidden="1">
      <c r="A158" s="148" t="s">
        <v>656</v>
      </c>
      <c r="B158" s="1898"/>
      <c r="C158" s="1947" t="s">
        <v>240</v>
      </c>
      <c r="D158" s="1934"/>
      <c r="E158" s="1113" t="s">
        <v>249</v>
      </c>
      <c r="F158" s="1113" t="s">
        <v>718</v>
      </c>
      <c r="G158" s="1113" t="s">
        <v>248</v>
      </c>
      <c r="H158" s="1978" t="s">
        <v>241</v>
      </c>
      <c r="I158" s="1191"/>
      <c r="J158" s="220"/>
      <c r="K158" s="176"/>
      <c r="L158" s="176"/>
      <c r="M158" s="210"/>
    </row>
    <row r="159" spans="1:13" ht="12.75" customHeight="1" hidden="1">
      <c r="A159" s="150" t="s">
        <v>651</v>
      </c>
      <c r="B159" s="1638"/>
      <c r="C159" s="1949" t="s">
        <v>224</v>
      </c>
      <c r="D159" s="1923"/>
      <c r="E159" s="1116" t="s">
        <v>249</v>
      </c>
      <c r="F159" s="1116" t="s">
        <v>718</v>
      </c>
      <c r="G159" s="1116" t="s">
        <v>248</v>
      </c>
      <c r="H159" s="1980" t="s">
        <v>264</v>
      </c>
      <c r="I159" s="1191"/>
      <c r="J159" s="220"/>
      <c r="K159" s="176"/>
      <c r="L159" s="176"/>
      <c r="M159" s="210"/>
    </row>
    <row r="160" spans="1:13" ht="24.75" customHeight="1">
      <c r="A160" s="150"/>
      <c r="B160" s="2089" t="s">
        <v>1082</v>
      </c>
      <c r="C160" s="2084" t="s">
        <v>955</v>
      </c>
      <c r="D160" s="2090" t="s">
        <v>591</v>
      </c>
      <c r="E160" s="2091" t="s">
        <v>396</v>
      </c>
      <c r="F160" s="2091" t="s">
        <v>407</v>
      </c>
      <c r="G160" s="1790"/>
      <c r="H160" s="1841"/>
      <c r="I160" s="2092">
        <f>I161+I163+I165</f>
        <v>198.17000000000002</v>
      </c>
      <c r="J160" s="94">
        <f>J161+J163+J165</f>
        <v>0</v>
      </c>
      <c r="K160" s="92">
        <f>K161+K163+K165</f>
        <v>2087.1</v>
      </c>
      <c r="L160" s="92">
        <f>L161+L163+L165</f>
        <v>2263.6</v>
      </c>
      <c r="M160" s="211">
        <f>M161+M163+M165</f>
        <v>0</v>
      </c>
    </row>
    <row r="161" spans="1:13" ht="22.5" customHeight="1" hidden="1">
      <c r="A161" s="134" t="s">
        <v>654</v>
      </c>
      <c r="B161" s="1628" t="s">
        <v>1083</v>
      </c>
      <c r="C161" s="1947" t="s">
        <v>463</v>
      </c>
      <c r="D161" s="1921" t="s">
        <v>591</v>
      </c>
      <c r="E161" s="1106" t="s">
        <v>396</v>
      </c>
      <c r="F161" s="1106" t="s">
        <v>464</v>
      </c>
      <c r="G161" s="1106"/>
      <c r="H161" s="1599"/>
      <c r="I161" s="1192">
        <f>I162</f>
        <v>0</v>
      </c>
      <c r="J161" s="218">
        <f>J162</f>
        <v>0</v>
      </c>
      <c r="K161" s="127">
        <f>K162</f>
        <v>1087.1</v>
      </c>
      <c r="L161" s="127">
        <f>L162</f>
        <v>1666</v>
      </c>
      <c r="M161" s="242">
        <f>M162</f>
        <v>0</v>
      </c>
    </row>
    <row r="162" spans="1:13" ht="14.25" customHeight="1" hidden="1">
      <c r="A162" s="50" t="s">
        <v>655</v>
      </c>
      <c r="B162" s="1638" t="s">
        <v>1084</v>
      </c>
      <c r="C162" s="1954" t="str">
        <f>'Бюд.р.'!A373</f>
        <v>Прочая закупка товаров, работ и услуг для муниципальных нужд</v>
      </c>
      <c r="D162" s="1718" t="s">
        <v>591</v>
      </c>
      <c r="E162" s="1110" t="s">
        <v>396</v>
      </c>
      <c r="F162" s="1110" t="str">
        <f>'Бюд.р.'!D373</f>
        <v>600 02 01</v>
      </c>
      <c r="G162" s="1110">
        <f>'Бюд.р.'!F373</f>
        <v>244</v>
      </c>
      <c r="H162" s="1413"/>
      <c r="I162" s="1190">
        <f>'Бюд.р.'!H373</f>
        <v>0</v>
      </c>
      <c r="J162" s="219">
        <v>0</v>
      </c>
      <c r="K162" s="130">
        <v>1087.1</v>
      </c>
      <c r="L162" s="130">
        <v>1666</v>
      </c>
      <c r="M162" s="243">
        <v>0</v>
      </c>
    </row>
    <row r="163" spans="1:13" ht="22.5" hidden="1">
      <c r="A163" s="134" t="s">
        <v>657</v>
      </c>
      <c r="B163" s="1628" t="s">
        <v>1085</v>
      </c>
      <c r="C163" s="1503" t="s">
        <v>465</v>
      </c>
      <c r="D163" s="1921" t="s">
        <v>591</v>
      </c>
      <c r="E163" s="1106" t="s">
        <v>396</v>
      </c>
      <c r="F163" s="1106" t="s">
        <v>376</v>
      </c>
      <c r="G163" s="1106"/>
      <c r="H163" s="1599"/>
      <c r="I163" s="1192">
        <f>I164</f>
        <v>0</v>
      </c>
      <c r="J163" s="218">
        <f>J164</f>
        <v>0</v>
      </c>
      <c r="K163" s="127">
        <f>K164</f>
        <v>500</v>
      </c>
      <c r="L163" s="127">
        <f>L164</f>
        <v>300</v>
      </c>
      <c r="M163" s="242">
        <f>M164</f>
        <v>0</v>
      </c>
    </row>
    <row r="164" spans="1:13" ht="14.25" customHeight="1" hidden="1">
      <c r="A164" s="50" t="s">
        <v>658</v>
      </c>
      <c r="B164" s="1638" t="s">
        <v>1086</v>
      </c>
      <c r="C164" s="1954" t="str">
        <f>'Бюд.р.'!A379</f>
        <v>Прочая закупка товаров, работ и услуг для муниципальных нужд</v>
      </c>
      <c r="D164" s="1718" t="s">
        <v>591</v>
      </c>
      <c r="E164" s="1110" t="s">
        <v>396</v>
      </c>
      <c r="F164" s="1110" t="s">
        <v>376</v>
      </c>
      <c r="G164" s="1110">
        <f>'Бюд.р.'!F379</f>
        <v>244</v>
      </c>
      <c r="H164" s="1413"/>
      <c r="I164" s="1190">
        <f>'Бюд.р.'!H379</f>
        <v>0</v>
      </c>
      <c r="J164" s="219">
        <v>0</v>
      </c>
      <c r="K164" s="130">
        <v>500</v>
      </c>
      <c r="L164" s="130">
        <v>300</v>
      </c>
      <c r="M164" s="243">
        <v>0</v>
      </c>
    </row>
    <row r="165" spans="1:13" ht="22.5">
      <c r="A165" s="202"/>
      <c r="B165" s="1639" t="s">
        <v>1083</v>
      </c>
      <c r="C165" s="2478" t="s">
        <v>375</v>
      </c>
      <c r="D165" s="1921" t="s">
        <v>591</v>
      </c>
      <c r="E165" s="1106" t="s">
        <v>396</v>
      </c>
      <c r="F165" s="1106" t="s">
        <v>956</v>
      </c>
      <c r="G165" s="1106"/>
      <c r="H165" s="1978"/>
      <c r="I165" s="1192">
        <f>I166</f>
        <v>198.17000000000002</v>
      </c>
      <c r="J165" s="218">
        <f>J166</f>
        <v>0</v>
      </c>
      <c r="K165" s="127">
        <f>K166</f>
        <v>500</v>
      </c>
      <c r="L165" s="127">
        <f>L166</f>
        <v>297.6</v>
      </c>
      <c r="M165" s="242">
        <f>M166</f>
        <v>0</v>
      </c>
    </row>
    <row r="166" spans="1:13" ht="28.5" customHeight="1">
      <c r="A166" s="202"/>
      <c r="B166" s="1640" t="s">
        <v>1084</v>
      </c>
      <c r="C166" s="1954" t="str">
        <f>'Бюд.р.'!A383</f>
        <v>Закупка товаров, работ и услуг  для государственных (муниципальных) нужд</v>
      </c>
      <c r="D166" s="1718" t="s">
        <v>591</v>
      </c>
      <c r="E166" s="1110" t="s">
        <v>396</v>
      </c>
      <c r="F166" s="1110" t="str">
        <f>'Бюд.р.'!D384</f>
        <v>600 02 04</v>
      </c>
      <c r="G166" s="1110">
        <f>'Бюд.р.'!F383</f>
        <v>200</v>
      </c>
      <c r="H166" s="1980"/>
      <c r="I166" s="1190">
        <f>'Бюд.р.'!H384</f>
        <v>198.17000000000002</v>
      </c>
      <c r="J166" s="219">
        <v>0</v>
      </c>
      <c r="K166" s="130">
        <v>500</v>
      </c>
      <c r="L166" s="130">
        <v>297.6</v>
      </c>
      <c r="M166" s="243">
        <v>0</v>
      </c>
    </row>
    <row r="167" spans="1:13" ht="12.75" customHeight="1">
      <c r="A167" s="202"/>
      <c r="B167" s="2089" t="s">
        <v>1087</v>
      </c>
      <c r="C167" s="2093" t="s">
        <v>660</v>
      </c>
      <c r="D167" s="2085" t="s">
        <v>591</v>
      </c>
      <c r="E167" s="2086" t="s">
        <v>396</v>
      </c>
      <c r="F167" s="2086" t="s">
        <v>661</v>
      </c>
      <c r="G167" s="1776"/>
      <c r="H167" s="1841"/>
      <c r="I167" s="2088">
        <f>I168+I171+I175+I173</f>
        <v>7744.922</v>
      </c>
      <c r="J167" s="94">
        <f>J168+J171</f>
        <v>0</v>
      </c>
      <c r="K167" s="92">
        <f>K168+K171</f>
        <v>4320.8</v>
      </c>
      <c r="L167" s="92">
        <f>L168+L171</f>
        <v>8025.1</v>
      </c>
      <c r="M167" s="211">
        <f>M168+M171</f>
        <v>0</v>
      </c>
    </row>
    <row r="168" spans="1:13" ht="21.75" customHeight="1">
      <c r="A168" s="202"/>
      <c r="B168" s="1639" t="s">
        <v>1088</v>
      </c>
      <c r="C168" s="1951" t="s">
        <v>957</v>
      </c>
      <c r="D168" s="1921" t="s">
        <v>591</v>
      </c>
      <c r="E168" s="1106" t="s">
        <v>396</v>
      </c>
      <c r="F168" s="1106" t="s">
        <v>659</v>
      </c>
      <c r="G168" s="1106"/>
      <c r="H168" s="1978"/>
      <c r="I168" s="1192">
        <f>SUM(I169:I170)</f>
        <v>7297.972</v>
      </c>
      <c r="J168" s="218">
        <f>SUM(J169:J170)</f>
        <v>0</v>
      </c>
      <c r="K168" s="127">
        <f>SUM(K169:K170)</f>
        <v>3963.7</v>
      </c>
      <c r="L168" s="127">
        <f>SUM(L169:L170)</f>
        <v>7464.6</v>
      </c>
      <c r="M168" s="242">
        <f>SUM(M169:M170)</f>
        <v>0</v>
      </c>
    </row>
    <row r="169" spans="1:13" ht="25.5" customHeight="1" thickBot="1">
      <c r="A169" s="202"/>
      <c r="B169" s="1640" t="s">
        <v>1089</v>
      </c>
      <c r="C169" s="1954" t="str">
        <f>'Бюд.р.'!A392</f>
        <v>Закупка товаров, работ и услуг  для государственных (муниципальных) нужд</v>
      </c>
      <c r="D169" s="1718" t="s">
        <v>591</v>
      </c>
      <c r="E169" s="1110" t="s">
        <v>396</v>
      </c>
      <c r="F169" s="1110" t="str">
        <f>'Бюд.р.'!D393</f>
        <v>600 03 01</v>
      </c>
      <c r="G169" s="1110">
        <f>'Бюд.р.'!F392</f>
        <v>200</v>
      </c>
      <c r="H169" s="1980"/>
      <c r="I169" s="1190">
        <f>'Бюд.р.'!H393</f>
        <v>7297.972</v>
      </c>
      <c r="J169" s="219">
        <v>0</v>
      </c>
      <c r="K169" s="130">
        <v>2852.2</v>
      </c>
      <c r="L169" s="130">
        <v>4871.1</v>
      </c>
      <c r="M169" s="243">
        <v>0</v>
      </c>
    </row>
    <row r="170" spans="1:13" ht="36" customHeight="1" hidden="1" thickBot="1">
      <c r="A170" s="202"/>
      <c r="B170" s="1640" t="s">
        <v>72</v>
      </c>
      <c r="C170" s="1943" t="s">
        <v>733</v>
      </c>
      <c r="D170" s="1718" t="s">
        <v>591</v>
      </c>
      <c r="E170" s="1110" t="s">
        <v>396</v>
      </c>
      <c r="F170" s="1110" t="s">
        <v>659</v>
      </c>
      <c r="G170" s="1110" t="s">
        <v>462</v>
      </c>
      <c r="H170" s="1980"/>
      <c r="I170" s="1190">
        <f>'Бюд.р.'!H396</f>
        <v>0</v>
      </c>
      <c r="J170" s="219">
        <v>0</v>
      </c>
      <c r="K170" s="130">
        <v>1111.5</v>
      </c>
      <c r="L170" s="130">
        <v>2593.5</v>
      </c>
      <c r="M170" s="243">
        <v>0</v>
      </c>
    </row>
    <row r="171" spans="1:13" ht="14.25" customHeight="1">
      <c r="A171" s="152" t="s">
        <v>605</v>
      </c>
      <c r="B171" s="1628" t="s">
        <v>1090</v>
      </c>
      <c r="C171" s="1951" t="s">
        <v>958</v>
      </c>
      <c r="D171" s="1921" t="s">
        <v>591</v>
      </c>
      <c r="E171" s="1106" t="s">
        <v>396</v>
      </c>
      <c r="F171" s="1106" t="s">
        <v>662</v>
      </c>
      <c r="G171" s="1106"/>
      <c r="H171" s="1599"/>
      <c r="I171" s="1192">
        <f>I172</f>
        <v>296.95</v>
      </c>
      <c r="J171" s="218">
        <f>J172</f>
        <v>0</v>
      </c>
      <c r="K171" s="127">
        <f>K172</f>
        <v>357.1</v>
      </c>
      <c r="L171" s="127">
        <f>L172</f>
        <v>560.5</v>
      </c>
      <c r="M171" s="242">
        <f>M172</f>
        <v>0</v>
      </c>
    </row>
    <row r="172" spans="1:13" ht="26.25" customHeight="1">
      <c r="A172" s="50" t="s">
        <v>606</v>
      </c>
      <c r="B172" s="1638" t="s">
        <v>1091</v>
      </c>
      <c r="C172" s="1954" t="str">
        <f>'Бюд.р.'!A402</f>
        <v>Закупка товаров, работ и услуг  для государственных (муниципальных) нужд</v>
      </c>
      <c r="D172" s="1718" t="s">
        <v>591</v>
      </c>
      <c r="E172" s="1110" t="s">
        <v>396</v>
      </c>
      <c r="F172" s="1110" t="str">
        <f>'Бюд.р.'!D403</f>
        <v>600 03 02</v>
      </c>
      <c r="G172" s="1110">
        <f>'Бюд.р.'!F402</f>
        <v>200</v>
      </c>
      <c r="H172" s="1413"/>
      <c r="I172" s="1190">
        <f>'Бюд.р.'!H403</f>
        <v>296.95</v>
      </c>
      <c r="J172" s="219">
        <v>0</v>
      </c>
      <c r="K172" s="130">
        <v>357.1</v>
      </c>
      <c r="L172" s="130">
        <v>560.5</v>
      </c>
      <c r="M172" s="243">
        <v>0</v>
      </c>
    </row>
    <row r="173" spans="1:13" ht="33.75" customHeight="1" hidden="1">
      <c r="A173" s="1097"/>
      <c r="B173" s="1639" t="s">
        <v>1092</v>
      </c>
      <c r="C173" s="1951" t="s">
        <v>977</v>
      </c>
      <c r="D173" s="1933">
        <v>968</v>
      </c>
      <c r="E173" s="2106" t="s">
        <v>396</v>
      </c>
      <c r="F173" s="1134" t="str">
        <f>F174</f>
        <v>600 03 04</v>
      </c>
      <c r="G173" s="1110"/>
      <c r="H173" s="1413"/>
      <c r="I173" s="1190">
        <f>I174</f>
        <v>0</v>
      </c>
      <c r="J173" s="219"/>
      <c r="K173" s="130"/>
      <c r="L173" s="130"/>
      <c r="M173" s="243"/>
    </row>
    <row r="174" spans="1:13" ht="16.5" customHeight="1" hidden="1">
      <c r="A174" s="1097"/>
      <c r="B174" s="1638" t="s">
        <v>1093</v>
      </c>
      <c r="C174" s="1954" t="str">
        <f>'Бюд.р.'!A410</f>
        <v>Прочая закупка товаров, работ и услуг для муниципальных нужд</v>
      </c>
      <c r="D174" s="1718" t="s">
        <v>591</v>
      </c>
      <c r="E174" s="1880" t="s">
        <v>396</v>
      </c>
      <c r="F174" s="1110" t="str">
        <f>'Бюд.р.'!D410</f>
        <v>600 03 04</v>
      </c>
      <c r="G174" s="1110">
        <f>'Бюд.р.'!F410</f>
        <v>244</v>
      </c>
      <c r="H174" s="1993"/>
      <c r="I174" s="1190">
        <f>'Бюд.р.'!H412</f>
        <v>0</v>
      </c>
      <c r="J174" s="219"/>
      <c r="K174" s="130"/>
      <c r="L174" s="130"/>
      <c r="M174" s="243"/>
    </row>
    <row r="175" spans="1:13" ht="22.5">
      <c r="A175" s="153"/>
      <c r="B175" s="1639" t="s">
        <v>1092</v>
      </c>
      <c r="C175" s="1951" t="s">
        <v>960</v>
      </c>
      <c r="D175" s="1933">
        <v>968</v>
      </c>
      <c r="E175" s="2106" t="s">
        <v>396</v>
      </c>
      <c r="F175" s="1134" t="str">
        <f>F176</f>
        <v>600 03 05</v>
      </c>
      <c r="G175" s="1150"/>
      <c r="H175" s="1993"/>
      <c r="I175" s="1192">
        <f>I176</f>
        <v>150</v>
      </c>
      <c r="J175" s="220"/>
      <c r="K175" s="176"/>
      <c r="L175" s="176"/>
      <c r="M175" s="210"/>
    </row>
    <row r="176" spans="1:13" ht="24" customHeight="1">
      <c r="A176" s="153"/>
      <c r="B176" s="1638" t="s">
        <v>1093</v>
      </c>
      <c r="C176" s="1954" t="str">
        <f>'Бюд.р.'!A414</f>
        <v>Закупка товаров, работ и услуг  для государственных (муниципальных) нужд</v>
      </c>
      <c r="D176" s="1718" t="s">
        <v>591</v>
      </c>
      <c r="E176" s="1110" t="s">
        <v>396</v>
      </c>
      <c r="F176" s="1110" t="str">
        <f>'Бюд.р.'!D415</f>
        <v>600 03 05</v>
      </c>
      <c r="G176" s="1110">
        <f>'Бюд.р.'!F414</f>
        <v>200</v>
      </c>
      <c r="H176" s="1993"/>
      <c r="I176" s="1190">
        <f>'Бюд.р.'!H415</f>
        <v>150</v>
      </c>
      <c r="J176" s="220"/>
      <c r="K176" s="176"/>
      <c r="L176" s="176"/>
      <c r="M176" s="210"/>
    </row>
    <row r="177" spans="1:13" ht="12.75" customHeight="1">
      <c r="A177" s="153"/>
      <c r="B177" s="2089" t="s">
        <v>1094</v>
      </c>
      <c r="C177" s="2093" t="s">
        <v>961</v>
      </c>
      <c r="D177" s="2085" t="s">
        <v>591</v>
      </c>
      <c r="E177" s="2086" t="s">
        <v>396</v>
      </c>
      <c r="F177" s="2086" t="s">
        <v>663</v>
      </c>
      <c r="G177" s="2094"/>
      <c r="H177" s="2095"/>
      <c r="I177" s="2088">
        <f>I178+I180+I182</f>
        <v>6043.642</v>
      </c>
      <c r="J177" s="94">
        <f>J182+J184</f>
        <v>0</v>
      </c>
      <c r="K177" s="92">
        <f>K182+K184</f>
        <v>0</v>
      </c>
      <c r="L177" s="92">
        <f>L182+L184</f>
        <v>0</v>
      </c>
      <c r="M177" s="211">
        <f>M182+M184</f>
        <v>500</v>
      </c>
    </row>
    <row r="178" spans="1:13" ht="21.75" customHeight="1">
      <c r="A178" s="153"/>
      <c r="B178" s="1639" t="s">
        <v>1095</v>
      </c>
      <c r="C178" s="1951" t="s">
        <v>962</v>
      </c>
      <c r="D178" s="1921" t="s">
        <v>591</v>
      </c>
      <c r="E178" s="1106" t="s">
        <v>396</v>
      </c>
      <c r="F178" s="1106" t="s">
        <v>664</v>
      </c>
      <c r="G178" s="1136"/>
      <c r="H178" s="1601"/>
      <c r="I178" s="1192">
        <f>I179</f>
        <v>4108.826</v>
      </c>
      <c r="J178" s="218">
        <f>J179</f>
        <v>0</v>
      </c>
      <c r="K178" s="127">
        <f>K179</f>
        <v>0</v>
      </c>
      <c r="L178" s="127">
        <f>L179</f>
        <v>0</v>
      </c>
      <c r="M178" s="242">
        <f>M179</f>
        <v>0</v>
      </c>
    </row>
    <row r="179" spans="1:13" ht="27" customHeight="1">
      <c r="A179" s="153"/>
      <c r="B179" s="1638" t="s">
        <v>1096</v>
      </c>
      <c r="C179" s="1954" t="str">
        <f>'Бюд.р.'!A420</f>
        <v>Закупка товаров, работ и услуг  для государственных (муниципальных) нужд</v>
      </c>
      <c r="D179" s="1718" t="s">
        <v>591</v>
      </c>
      <c r="E179" s="1110" t="s">
        <v>396</v>
      </c>
      <c r="F179" s="1110" t="str">
        <f>'Бюд.р.'!D421</f>
        <v>600 04 01</v>
      </c>
      <c r="G179" s="1110">
        <f>'Бюд.р.'!F420</f>
        <v>200</v>
      </c>
      <c r="H179" s="1993"/>
      <c r="I179" s="1190">
        <f>'Бюд.р.'!H421</f>
        <v>4108.826</v>
      </c>
      <c r="J179" s="219">
        <v>0</v>
      </c>
      <c r="K179" s="130">
        <v>0</v>
      </c>
      <c r="L179" s="130">
        <v>0</v>
      </c>
      <c r="M179" s="243">
        <v>0</v>
      </c>
    </row>
    <row r="180" spans="1:13" ht="23.25" customHeight="1">
      <c r="A180" s="153"/>
      <c r="B180" s="1639" t="s">
        <v>1097</v>
      </c>
      <c r="C180" s="1952" t="s">
        <v>963</v>
      </c>
      <c r="D180" s="1921" t="s">
        <v>591</v>
      </c>
      <c r="E180" s="1106" t="s">
        <v>396</v>
      </c>
      <c r="F180" s="1106" t="s">
        <v>681</v>
      </c>
      <c r="G180" s="1136"/>
      <c r="H180" s="1993"/>
      <c r="I180" s="1193">
        <f>I181</f>
        <v>1134.8159999999998</v>
      </c>
      <c r="J180" s="219"/>
      <c r="K180" s="130"/>
      <c r="L180" s="130"/>
      <c r="M180" s="243"/>
    </row>
    <row r="181" spans="1:13" ht="24.75" customHeight="1">
      <c r="A181" s="153"/>
      <c r="B181" s="1638" t="s">
        <v>1098</v>
      </c>
      <c r="C181" s="1954" t="str">
        <f>'Бюд.р.'!A428</f>
        <v>Закупка товаров, работ и услуг  для государственных (муниципальных) нужд</v>
      </c>
      <c r="D181" s="1718" t="s">
        <v>591</v>
      </c>
      <c r="E181" s="1110" t="s">
        <v>396</v>
      </c>
      <c r="F181" s="1110" t="str">
        <f>'Бюд.р.'!D429</f>
        <v>600 04 02</v>
      </c>
      <c r="G181" s="1110">
        <f>'Бюд.р.'!F428</f>
        <v>200</v>
      </c>
      <c r="H181" s="1993"/>
      <c r="I181" s="1190">
        <f>'Бюд.р.'!H429</f>
        <v>1134.8159999999998</v>
      </c>
      <c r="J181" s="219"/>
      <c r="K181" s="130"/>
      <c r="L181" s="130"/>
      <c r="M181" s="243"/>
    </row>
    <row r="182" spans="1:13" ht="22.5" customHeight="1">
      <c r="A182" s="153"/>
      <c r="B182" s="1639" t="s">
        <v>1099</v>
      </c>
      <c r="C182" s="1503" t="s">
        <v>133</v>
      </c>
      <c r="D182" s="1921" t="s">
        <v>591</v>
      </c>
      <c r="E182" s="1106" t="s">
        <v>396</v>
      </c>
      <c r="F182" s="1106" t="s">
        <v>825</v>
      </c>
      <c r="G182" s="1136"/>
      <c r="H182" s="1601"/>
      <c r="I182" s="1192">
        <f>I183</f>
        <v>800</v>
      </c>
      <c r="J182" s="218">
        <f>J183</f>
        <v>0</v>
      </c>
      <c r="K182" s="127">
        <f>K183</f>
        <v>0</v>
      </c>
      <c r="L182" s="127">
        <f>L183</f>
        <v>0</v>
      </c>
      <c r="M182" s="242">
        <f>M183</f>
        <v>500</v>
      </c>
    </row>
    <row r="183" spans="1:13" ht="12" customHeight="1">
      <c r="A183" s="153"/>
      <c r="B183" s="1638" t="s">
        <v>1100</v>
      </c>
      <c r="C183" s="1954" t="str">
        <f>'Бюд.р.'!A434</f>
        <v>Прочая закупка товаров, работ и услуг для муниципальных нужд</v>
      </c>
      <c r="D183" s="1718" t="s">
        <v>591</v>
      </c>
      <c r="E183" s="1110" t="s">
        <v>396</v>
      </c>
      <c r="F183" s="1110" t="s">
        <v>825</v>
      </c>
      <c r="G183" s="1110">
        <f>'Бюд.р.'!F434</f>
        <v>244</v>
      </c>
      <c r="H183" s="1993"/>
      <c r="I183" s="1190">
        <f>'Бюд.р.'!H434</f>
        <v>800</v>
      </c>
      <c r="J183" s="219">
        <v>0</v>
      </c>
      <c r="K183" s="130">
        <v>0</v>
      </c>
      <c r="L183" s="130">
        <v>0</v>
      </c>
      <c r="M183" s="243">
        <v>500</v>
      </c>
    </row>
    <row r="184" spans="1:13" ht="22.5" hidden="1">
      <c r="A184" s="153"/>
      <c r="B184" s="1909" t="s">
        <v>148</v>
      </c>
      <c r="C184" s="1947" t="s">
        <v>682</v>
      </c>
      <c r="D184" s="1921" t="s">
        <v>591</v>
      </c>
      <c r="E184" s="1106" t="s">
        <v>396</v>
      </c>
      <c r="F184" s="1106" t="s">
        <v>683</v>
      </c>
      <c r="G184" s="1136"/>
      <c r="H184" s="1601"/>
      <c r="I184" s="1192" t="e">
        <f>I185</f>
        <v>#REF!</v>
      </c>
      <c r="J184" s="218">
        <f>J185</f>
        <v>0</v>
      </c>
      <c r="K184" s="127">
        <f>K185</f>
        <v>0</v>
      </c>
      <c r="L184" s="127">
        <f>L185</f>
        <v>0</v>
      </c>
      <c r="M184" s="242">
        <f>M185</f>
        <v>0</v>
      </c>
    </row>
    <row r="185" spans="1:13" ht="14.25" customHeight="1" hidden="1">
      <c r="A185" s="153"/>
      <c r="B185" s="1638" t="s">
        <v>149</v>
      </c>
      <c r="C185" s="1943" t="s">
        <v>415</v>
      </c>
      <c r="D185" s="1718" t="s">
        <v>591</v>
      </c>
      <c r="E185" s="1110" t="s">
        <v>396</v>
      </c>
      <c r="F185" s="1110" t="s">
        <v>683</v>
      </c>
      <c r="G185" s="1110" t="s">
        <v>764</v>
      </c>
      <c r="H185" s="1993"/>
      <c r="I185" s="1190" t="e">
        <f>'Бюд.р.'!#REF!</f>
        <v>#REF!</v>
      </c>
      <c r="J185" s="219">
        <v>0</v>
      </c>
      <c r="K185" s="130">
        <v>0</v>
      </c>
      <c r="L185" s="130">
        <v>0</v>
      </c>
      <c r="M185" s="243">
        <v>0</v>
      </c>
    </row>
    <row r="186" spans="1:13" ht="25.5" customHeight="1" hidden="1">
      <c r="A186" s="153"/>
      <c r="B186" s="1909" t="s">
        <v>837</v>
      </c>
      <c r="C186" s="1951" t="s">
        <v>827</v>
      </c>
      <c r="D186" s="1924">
        <v>968</v>
      </c>
      <c r="E186" s="1120">
        <v>503</v>
      </c>
      <c r="F186" s="1120" t="s">
        <v>825</v>
      </c>
      <c r="G186" s="1120"/>
      <c r="H186" s="1601"/>
      <c r="I186" s="1192" t="e">
        <f>I187</f>
        <v>#REF!</v>
      </c>
      <c r="J186" s="219"/>
      <c r="K186" s="130"/>
      <c r="L186" s="130"/>
      <c r="M186" s="243"/>
    </row>
    <row r="187" spans="1:13" ht="14.25" customHeight="1" hidden="1">
      <c r="A187" s="153"/>
      <c r="B187" s="1638" t="s">
        <v>838</v>
      </c>
      <c r="C187" s="1954" t="s">
        <v>415</v>
      </c>
      <c r="D187" s="1926">
        <v>968</v>
      </c>
      <c r="E187" s="1124">
        <v>503</v>
      </c>
      <c r="F187" s="1124" t="s">
        <v>825</v>
      </c>
      <c r="G187" s="1124">
        <v>500</v>
      </c>
      <c r="H187" s="1994"/>
      <c r="I187" s="1194" t="e">
        <f>'Бюд.р.'!#REF!</f>
        <v>#REF!</v>
      </c>
      <c r="J187" s="219"/>
      <c r="K187" s="130"/>
      <c r="L187" s="130"/>
      <c r="M187" s="243"/>
    </row>
    <row r="188" spans="1:13" ht="15">
      <c r="A188" s="153"/>
      <c r="B188" s="1910" t="s">
        <v>611</v>
      </c>
      <c r="C188" s="1945" t="s">
        <v>684</v>
      </c>
      <c r="D188" s="1919" t="s">
        <v>591</v>
      </c>
      <c r="E188" s="1879" t="s">
        <v>685</v>
      </c>
      <c r="F188" s="1889"/>
      <c r="G188" s="1889"/>
      <c r="H188" s="1995"/>
      <c r="I188" s="2006">
        <f>I189</f>
        <v>0</v>
      </c>
      <c r="J188" s="224">
        <f aca="true" t="shared" si="1" ref="J188:M190">J189</f>
        <v>0</v>
      </c>
      <c r="K188" s="209">
        <f t="shared" si="1"/>
        <v>8</v>
      </c>
      <c r="L188" s="209">
        <f t="shared" si="1"/>
        <v>0</v>
      </c>
      <c r="M188" s="247">
        <f t="shared" si="1"/>
        <v>0</v>
      </c>
    </row>
    <row r="189" spans="1:13" ht="26.25" customHeight="1">
      <c r="A189" s="153"/>
      <c r="B189" s="1911" t="s">
        <v>94</v>
      </c>
      <c r="C189" s="1946" t="s">
        <v>687</v>
      </c>
      <c r="D189" s="1920" t="s">
        <v>591</v>
      </c>
      <c r="E189" s="1103" t="s">
        <v>686</v>
      </c>
      <c r="F189" s="1886"/>
      <c r="G189" s="1886"/>
      <c r="H189" s="1990"/>
      <c r="I189" s="1188">
        <f>I190</f>
        <v>0</v>
      </c>
      <c r="J189" s="217">
        <f t="shared" si="1"/>
        <v>0</v>
      </c>
      <c r="K189" s="93">
        <f t="shared" si="1"/>
        <v>8</v>
      </c>
      <c r="L189" s="93">
        <f t="shared" si="1"/>
        <v>0</v>
      </c>
      <c r="M189" s="241">
        <f t="shared" si="1"/>
        <v>0</v>
      </c>
    </row>
    <row r="190" spans="1:13" ht="22.5">
      <c r="A190" s="153"/>
      <c r="B190" s="1909" t="s">
        <v>95</v>
      </c>
      <c r="C190" s="1966" t="s">
        <v>688</v>
      </c>
      <c r="D190" s="1921" t="s">
        <v>591</v>
      </c>
      <c r="E190" s="1106" t="s">
        <v>686</v>
      </c>
      <c r="F190" s="1106" t="s">
        <v>689</v>
      </c>
      <c r="G190" s="1106"/>
      <c r="H190" s="1601"/>
      <c r="I190" s="1192">
        <f>I191</f>
        <v>0</v>
      </c>
      <c r="J190" s="218">
        <f t="shared" si="1"/>
        <v>0</v>
      </c>
      <c r="K190" s="127">
        <f t="shared" si="1"/>
        <v>8</v>
      </c>
      <c r="L190" s="127">
        <f t="shared" si="1"/>
        <v>0</v>
      </c>
      <c r="M190" s="242">
        <f t="shared" si="1"/>
        <v>0</v>
      </c>
    </row>
    <row r="191" spans="1:13" ht="15" customHeight="1">
      <c r="A191" s="153"/>
      <c r="B191" s="1638" t="s">
        <v>96</v>
      </c>
      <c r="C191" s="1954" t="str">
        <f>'Бюд.р.'!A440</f>
        <v>Прочая закупка товаров, работ и услуг для муниципальных нужд</v>
      </c>
      <c r="D191" s="1718" t="s">
        <v>591</v>
      </c>
      <c r="E191" s="1110" t="s">
        <v>686</v>
      </c>
      <c r="F191" s="1110" t="s">
        <v>689</v>
      </c>
      <c r="G191" s="1110">
        <f>'Бюд.р.'!F440</f>
        <v>244</v>
      </c>
      <c r="H191" s="1993"/>
      <c r="I191" s="1190">
        <f>'Бюд.р.'!H440</f>
        <v>0</v>
      </c>
      <c r="J191" s="219">
        <v>0</v>
      </c>
      <c r="K191" s="130">
        <v>8</v>
      </c>
      <c r="L191" s="130">
        <v>0</v>
      </c>
      <c r="M191" s="243">
        <v>0</v>
      </c>
    </row>
    <row r="192" spans="1:13" ht="15">
      <c r="A192" s="153"/>
      <c r="B192" s="1910" t="s">
        <v>612</v>
      </c>
      <c r="C192" s="1945" t="s">
        <v>236</v>
      </c>
      <c r="D192" s="1919" t="s">
        <v>591</v>
      </c>
      <c r="E192" s="1879" t="s">
        <v>358</v>
      </c>
      <c r="F192" s="1889"/>
      <c r="G192" s="1885"/>
      <c r="H192" s="1996"/>
      <c r="I192" s="2006">
        <f>I199+I210+I193</f>
        <v>4007.4970000000008</v>
      </c>
      <c r="J192" s="224" t="e">
        <f>J199</f>
        <v>#REF!</v>
      </c>
      <c r="K192" s="209" t="e">
        <f>K199</f>
        <v>#REF!</v>
      </c>
      <c r="L192" s="209" t="e">
        <f>L199</f>
        <v>#REF!</v>
      </c>
      <c r="M192" s="247" t="e">
        <f>M199</f>
        <v>#REF!</v>
      </c>
    </row>
    <row r="193" spans="1:13" ht="24.75" customHeight="1">
      <c r="A193" s="153"/>
      <c r="B193" s="2074" t="s">
        <v>94</v>
      </c>
      <c r="C193" s="2055" t="s">
        <v>992</v>
      </c>
      <c r="D193" s="2056" t="s">
        <v>591</v>
      </c>
      <c r="E193" s="2057" t="s">
        <v>993</v>
      </c>
      <c r="F193" s="2071"/>
      <c r="G193" s="2075"/>
      <c r="H193" s="2076"/>
      <c r="I193" s="2059">
        <f>I194</f>
        <v>164.40000000000003</v>
      </c>
      <c r="J193" s="224"/>
      <c r="K193" s="209"/>
      <c r="L193" s="209"/>
      <c r="M193" s="247"/>
    </row>
    <row r="194" spans="1:13" ht="56.25">
      <c r="A194" s="153"/>
      <c r="B194" s="1909" t="s">
        <v>95</v>
      </c>
      <c r="C194" s="1947" t="s">
        <v>1000</v>
      </c>
      <c r="D194" s="1921" t="s">
        <v>591</v>
      </c>
      <c r="E194" s="1106" t="s">
        <v>993</v>
      </c>
      <c r="F194" s="1106" t="str">
        <f>'Бюд.р.'!D446</f>
        <v>428 01 00</v>
      </c>
      <c r="G194" s="1106"/>
      <c r="H194" s="1599"/>
      <c r="I194" s="1192">
        <f>'Бюд.р.'!H446</f>
        <v>164.40000000000003</v>
      </c>
      <c r="J194" s="224"/>
      <c r="K194" s="209"/>
      <c r="L194" s="209"/>
      <c r="M194" s="247"/>
    </row>
    <row r="195" spans="1:13" ht="36.75" customHeight="1">
      <c r="A195" s="153"/>
      <c r="B195" s="2444" t="s">
        <v>96</v>
      </c>
      <c r="C195" s="1947" t="s">
        <v>1003</v>
      </c>
      <c r="D195" s="1932" t="s">
        <v>591</v>
      </c>
      <c r="E195" s="1132" t="s">
        <v>993</v>
      </c>
      <c r="F195" s="1132" t="str">
        <f>'Бюд.р.'!D447</f>
        <v>428 01 01</v>
      </c>
      <c r="G195" s="1132"/>
      <c r="H195" s="1412"/>
      <c r="I195" s="1196">
        <f>I196</f>
        <v>0</v>
      </c>
      <c r="J195" s="224"/>
      <c r="K195" s="209"/>
      <c r="L195" s="209"/>
      <c r="M195" s="247"/>
    </row>
    <row r="196" spans="1:13" ht="22.5" customHeight="1">
      <c r="A196" s="153"/>
      <c r="B196" s="2444" t="s">
        <v>1039</v>
      </c>
      <c r="C196" s="1954" t="str">
        <f>'Бюд.р.'!A448</f>
        <v>Закупка товаров, работ и услуг  для государственных (муниципальных) нужд</v>
      </c>
      <c r="D196" s="1718" t="s">
        <v>591</v>
      </c>
      <c r="E196" s="1110">
        <v>705</v>
      </c>
      <c r="F196" s="1110" t="str">
        <f>'Бюд.р.'!D449</f>
        <v>428 01 01</v>
      </c>
      <c r="G196" s="1110">
        <f>'Бюд.р.'!F448</f>
        <v>200</v>
      </c>
      <c r="H196" s="1413"/>
      <c r="I196" s="1190">
        <f>'Бюд.р.'!H449</f>
        <v>0</v>
      </c>
      <c r="J196" s="224"/>
      <c r="K196" s="209"/>
      <c r="L196" s="209"/>
      <c r="M196" s="247"/>
    </row>
    <row r="197" spans="1:13" ht="22.5">
      <c r="A197" s="153"/>
      <c r="B197" s="2444" t="s">
        <v>1040</v>
      </c>
      <c r="C197" s="1951" t="s">
        <v>1004</v>
      </c>
      <c r="D197" s="1932" t="s">
        <v>591</v>
      </c>
      <c r="E197" s="1132" t="s">
        <v>993</v>
      </c>
      <c r="F197" s="1132" t="str">
        <f>'Бюд.р.'!D452</f>
        <v>428 01 02</v>
      </c>
      <c r="G197" s="1132"/>
      <c r="H197" s="1412"/>
      <c r="I197" s="1196">
        <f>I198</f>
        <v>164.40000000000003</v>
      </c>
      <c r="J197" s="224"/>
      <c r="K197" s="209"/>
      <c r="L197" s="209"/>
      <c r="M197" s="247"/>
    </row>
    <row r="198" spans="1:13" ht="23.25" customHeight="1">
      <c r="A198" s="153"/>
      <c r="B198" s="1638" t="s">
        <v>1041</v>
      </c>
      <c r="C198" s="1954" t="str">
        <f>'Бюд.р.'!A453</f>
        <v>Закупка товаров, работ и услуг  для государственных (муниципальных) нужд</v>
      </c>
      <c r="D198" s="1718" t="s">
        <v>591</v>
      </c>
      <c r="E198" s="1880" t="s">
        <v>993</v>
      </c>
      <c r="F198" s="1110" t="str">
        <f>'Бюд.р.'!D454</f>
        <v>428 01 02</v>
      </c>
      <c r="G198" s="1110">
        <f>'Бюд.р.'!F453</f>
        <v>200</v>
      </c>
      <c r="H198" s="1413"/>
      <c r="I198" s="1190">
        <f>'Бюд.р.'!H454</f>
        <v>164.40000000000003</v>
      </c>
      <c r="J198" s="224"/>
      <c r="K198" s="209"/>
      <c r="L198" s="209"/>
      <c r="M198" s="247"/>
    </row>
    <row r="199" spans="1:13" ht="15.75" customHeight="1">
      <c r="A199" s="153"/>
      <c r="B199" s="2074" t="s">
        <v>5</v>
      </c>
      <c r="C199" s="2055" t="s">
        <v>357</v>
      </c>
      <c r="D199" s="2056" t="s">
        <v>591</v>
      </c>
      <c r="E199" s="2057" t="s">
        <v>359</v>
      </c>
      <c r="F199" s="2071"/>
      <c r="G199" s="2075"/>
      <c r="H199" s="2076"/>
      <c r="I199" s="2059">
        <f>I200+I202+I204+I206+I208</f>
        <v>3725.0870000000004</v>
      </c>
      <c r="J199" s="217" t="e">
        <f>#REF!+#REF!</f>
        <v>#REF!</v>
      </c>
      <c r="K199" s="93" t="e">
        <f>#REF!+#REF!</f>
        <v>#REF!</v>
      </c>
      <c r="L199" s="93" t="e">
        <f>#REF!+#REF!</f>
        <v>#REF!</v>
      </c>
      <c r="M199" s="241" t="e">
        <f>#REF!+#REF!</f>
        <v>#REF!</v>
      </c>
    </row>
    <row r="200" spans="1:13" ht="33.75">
      <c r="A200" s="151" t="s">
        <v>680</v>
      </c>
      <c r="B200" s="1912" t="s">
        <v>6</v>
      </c>
      <c r="C200" s="1947" t="str">
        <f>'Бюд.р.'!A458</f>
        <v>Ведомственная целевая программа по участию в реализации мер по профилактике дорожно-транспортного травматизма на территории МО </v>
      </c>
      <c r="D200" s="1934">
        <v>968</v>
      </c>
      <c r="E200" s="1113">
        <f>'Бюд.р.'!C458</f>
        <v>707</v>
      </c>
      <c r="F200" s="1113" t="str">
        <f>'Бюд.р.'!D458</f>
        <v>795 01 00</v>
      </c>
      <c r="G200" s="1113"/>
      <c r="H200" s="1978"/>
      <c r="I200" s="2443">
        <f>I201</f>
        <v>784.48</v>
      </c>
      <c r="J200" s="220"/>
      <c r="K200" s="176"/>
      <c r="L200" s="176"/>
      <c r="M200" s="210"/>
    </row>
    <row r="201" spans="1:13" ht="22.5">
      <c r="A201" s="155" t="s">
        <v>651</v>
      </c>
      <c r="B201" s="1638" t="s">
        <v>7</v>
      </c>
      <c r="C201" s="1967" t="str">
        <f>'Бюд.р.'!A459</f>
        <v>Закупка товаров, работ и услуг  для государственных (муниципальных) нужд</v>
      </c>
      <c r="D201" s="1923">
        <f>'Бюд.р.'!B460</f>
        <v>968</v>
      </c>
      <c r="E201" s="1148">
        <f>'Бюд.р.'!C460</f>
        <v>707</v>
      </c>
      <c r="F201" s="1148" t="str">
        <f>'Бюд.р.'!D460</f>
        <v>795 01 00</v>
      </c>
      <c r="G201" s="1148">
        <f>'Бюд.р.'!F459</f>
        <v>200</v>
      </c>
      <c r="H201" s="1997"/>
      <c r="I201" s="1191">
        <f>'Бюд.р.'!H460</f>
        <v>784.48</v>
      </c>
      <c r="J201" s="220"/>
      <c r="K201" s="176"/>
      <c r="L201" s="176"/>
      <c r="M201" s="210"/>
    </row>
    <row r="202" spans="1:13" ht="46.5" customHeight="1">
      <c r="A202" s="154" t="s">
        <v>613</v>
      </c>
      <c r="B202" s="1912" t="s">
        <v>904</v>
      </c>
      <c r="C202" s="1503" t="str">
        <f>'Бюд.р.'!A464</f>
        <v>Ведомственная 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 </v>
      </c>
      <c r="D202" s="1932">
        <v>968</v>
      </c>
      <c r="E202" s="1149">
        <f>'Бюд.р.'!C464</f>
        <v>707</v>
      </c>
      <c r="F202" s="1149" t="str">
        <f>'Бюд.р.'!D464</f>
        <v>795 04 00</v>
      </c>
      <c r="G202" s="1149"/>
      <c r="H202" s="1439"/>
      <c r="I202" s="1197">
        <f>I203</f>
        <v>140.642</v>
      </c>
      <c r="J202" s="220"/>
      <c r="K202" s="176"/>
      <c r="L202" s="176"/>
      <c r="M202" s="210"/>
    </row>
    <row r="203" spans="1:13" ht="24.75" customHeight="1">
      <c r="A203" s="50" t="s">
        <v>443</v>
      </c>
      <c r="B203" s="1638" t="s">
        <v>905</v>
      </c>
      <c r="C203" s="2442" t="str">
        <f>'Бюд.р.'!A465</f>
        <v>Закупка товаров, работ и услуг  для государственных (муниципальных) нужд</v>
      </c>
      <c r="D203" s="2456">
        <v>968</v>
      </c>
      <c r="E203" s="2293">
        <v>707</v>
      </c>
      <c r="F203" s="2293" t="str">
        <f>'Бюд.р.'!D466</f>
        <v>795 04 00</v>
      </c>
      <c r="G203" s="2293">
        <f>'Бюд.р.'!F465</f>
        <v>200</v>
      </c>
      <c r="H203" s="1439"/>
      <c r="I203" s="1190">
        <f>'Бюд.р.'!H466</f>
        <v>140.642</v>
      </c>
      <c r="J203" s="220"/>
      <c r="K203" s="176"/>
      <c r="L203" s="176"/>
      <c r="M203" s="210"/>
    </row>
    <row r="204" spans="1:13" ht="48" customHeight="1">
      <c r="A204" s="156" t="s">
        <v>652</v>
      </c>
      <c r="B204" s="1912" t="s">
        <v>1331</v>
      </c>
      <c r="C204" s="1947" t="str">
        <f>'Бюд.р.'!A486</f>
        <v>Ведомственная целевая программа   по участию в профилактике  терроризма и экстремизма, а также  минимизации и (или) ликвидации последствий проявления терроризма и экстремизма на территории МО </v>
      </c>
      <c r="D204" s="1932">
        <f>'Бюд.р.'!B486</f>
        <v>968</v>
      </c>
      <c r="E204" s="1132">
        <f>'Бюд.р.'!C486</f>
        <v>707</v>
      </c>
      <c r="F204" s="1132" t="str">
        <f>'Бюд.р.'!D486</f>
        <v>795 05 00</v>
      </c>
      <c r="G204" s="1132"/>
      <c r="H204" s="1412"/>
      <c r="I204" s="1196">
        <f>I205</f>
        <v>85.36500000000001</v>
      </c>
      <c r="J204" s="220"/>
      <c r="K204" s="176"/>
      <c r="L204" s="176"/>
      <c r="M204" s="210"/>
    </row>
    <row r="205" spans="1:13" ht="22.5" customHeight="1" thickBot="1">
      <c r="A205" s="157" t="s">
        <v>651</v>
      </c>
      <c r="B205" s="1638" t="s">
        <v>1332</v>
      </c>
      <c r="C205" s="1971" t="str">
        <f>'Бюд.р.'!A487</f>
        <v>Закупка товаров, работ и услуг  для государственных (муниципальных) нужд</v>
      </c>
      <c r="D205" s="1718">
        <f>'Бюд.р.'!B488</f>
        <v>968</v>
      </c>
      <c r="E205" s="1110">
        <f>'Бюд.р.'!C488</f>
        <v>707</v>
      </c>
      <c r="F205" s="1110" t="str">
        <f>'Бюд.р.'!D488</f>
        <v>795 05 00</v>
      </c>
      <c r="G205" s="1110">
        <f>'Бюд.р.'!F487</f>
        <v>200</v>
      </c>
      <c r="H205" s="1413"/>
      <c r="I205" s="1190">
        <f>'Бюд.р.'!H488</f>
        <v>85.36500000000001</v>
      </c>
      <c r="J205" s="220"/>
      <c r="K205" s="176"/>
      <c r="L205" s="176"/>
      <c r="M205" s="210"/>
    </row>
    <row r="206" spans="1:13" ht="24" customHeight="1">
      <c r="A206" s="153" t="s">
        <v>103</v>
      </c>
      <c r="B206" s="1639" t="s">
        <v>1333</v>
      </c>
      <c r="C206" s="1947" t="str">
        <f>'Бюд.р.'!A477</f>
        <v>Ведомственная целевая программа по организации и проведению досуговых мероприятий для жителей МО МО Озеро Долгое </v>
      </c>
      <c r="D206" s="1932" t="s">
        <v>591</v>
      </c>
      <c r="E206" s="1132" t="s">
        <v>359</v>
      </c>
      <c r="F206" s="1132" t="str">
        <f>'Бюд.р.'!D479</f>
        <v>795 06 00</v>
      </c>
      <c r="G206" s="1132"/>
      <c r="H206" s="1412"/>
      <c r="I206" s="1196">
        <f>I207</f>
        <v>1610.9</v>
      </c>
      <c r="J206" s="220"/>
      <c r="K206" s="176"/>
      <c r="L206" s="176"/>
      <c r="M206" s="210"/>
    </row>
    <row r="207" spans="1:13" ht="23.25" customHeight="1">
      <c r="A207" s="158" t="s">
        <v>183</v>
      </c>
      <c r="B207" s="1638" t="s">
        <v>1334</v>
      </c>
      <c r="C207" s="1971" t="str">
        <f>'Бюд.р.'!A478</f>
        <v>Закупка товаров, работ и услуг  для государственных (муниципальных) нужд</v>
      </c>
      <c r="D207" s="1718" t="s">
        <v>591</v>
      </c>
      <c r="E207" s="1110" t="s">
        <v>359</v>
      </c>
      <c r="F207" s="1110" t="str">
        <f>'Бюд.р.'!D477</f>
        <v>795 06 00</v>
      </c>
      <c r="G207" s="1110">
        <f>'Бюд.р.'!F478</f>
        <v>200</v>
      </c>
      <c r="H207" s="1413"/>
      <c r="I207" s="1190">
        <f>'Бюд.р.'!H477</f>
        <v>1610.9</v>
      </c>
      <c r="J207" s="220"/>
      <c r="K207" s="176"/>
      <c r="L207" s="176"/>
      <c r="M207" s="210"/>
    </row>
    <row r="208" spans="1:13" ht="23.25" customHeight="1">
      <c r="A208" s="155" t="s">
        <v>651</v>
      </c>
      <c r="B208" s="1912" t="s">
        <v>1335</v>
      </c>
      <c r="C208" s="1947" t="str">
        <f>'Бюд.р.'!A469</f>
        <v>Ведомственная целевая программа по военно-патриотическому воспитанию граждан муниципального образования</v>
      </c>
      <c r="D208" s="1921" t="s">
        <v>591</v>
      </c>
      <c r="E208" s="1106" t="s">
        <v>359</v>
      </c>
      <c r="F208" s="1106" t="str">
        <f>'Бюд.р.'!D469</f>
        <v>795 08 00</v>
      </c>
      <c r="G208" s="1106"/>
      <c r="H208" s="1599"/>
      <c r="I208" s="1192">
        <f>I209</f>
        <v>1103.7</v>
      </c>
      <c r="J208" s="220"/>
      <c r="K208" s="176"/>
      <c r="L208" s="176"/>
      <c r="M208" s="210"/>
    </row>
    <row r="209" spans="1:13" ht="22.5">
      <c r="A209" s="159" t="s">
        <v>107</v>
      </c>
      <c r="B209" s="1638" t="s">
        <v>1336</v>
      </c>
      <c r="C209" s="1954" t="str">
        <f>'Бюд.р.'!A470</f>
        <v>Закупка товаров, работ и услуг  для государственных (муниципальных) нужд</v>
      </c>
      <c r="D209" s="1718" t="s">
        <v>591</v>
      </c>
      <c r="E209" s="1110" t="s">
        <v>359</v>
      </c>
      <c r="F209" s="1110" t="str">
        <f>'Бюд.р.'!D471</f>
        <v>795 08 00</v>
      </c>
      <c r="G209" s="1110">
        <f>'Бюд.р.'!F470</f>
        <v>200</v>
      </c>
      <c r="H209" s="1413"/>
      <c r="I209" s="1190">
        <f>'Бюд.р.'!H471</f>
        <v>1103.7</v>
      </c>
      <c r="J209" s="220"/>
      <c r="K209" s="176"/>
      <c r="L209" s="176"/>
      <c r="M209" s="210"/>
    </row>
    <row r="210" spans="1:13" ht="15">
      <c r="A210" s="159"/>
      <c r="B210" s="2074" t="s">
        <v>503</v>
      </c>
      <c r="C210" s="2073" t="s">
        <v>14</v>
      </c>
      <c r="D210" s="2056" t="s">
        <v>591</v>
      </c>
      <c r="E210" s="2057" t="s">
        <v>18</v>
      </c>
      <c r="F210" s="2071"/>
      <c r="G210" s="2075"/>
      <c r="H210" s="2076"/>
      <c r="I210" s="2059">
        <f>I211+I213</f>
        <v>118.01</v>
      </c>
      <c r="J210" s="220"/>
      <c r="K210" s="176"/>
      <c r="L210" s="176"/>
      <c r="M210" s="210"/>
    </row>
    <row r="211" spans="1:13" ht="34.5" customHeight="1">
      <c r="A211" s="159"/>
      <c r="B211" s="1912" t="s">
        <v>506</v>
      </c>
      <c r="C211" s="1951" t="s">
        <v>946</v>
      </c>
      <c r="D211" s="1921" t="s">
        <v>591</v>
      </c>
      <c r="E211" s="1106" t="s">
        <v>18</v>
      </c>
      <c r="F211" s="1106" t="s">
        <v>409</v>
      </c>
      <c r="G211" s="1106"/>
      <c r="H211" s="1599"/>
      <c r="I211" s="1192">
        <f>I212</f>
        <v>35</v>
      </c>
      <c r="J211" s="220"/>
      <c r="K211" s="176"/>
      <c r="L211" s="176"/>
      <c r="M211" s="210"/>
    </row>
    <row r="212" spans="1:13" ht="25.5" customHeight="1">
      <c r="A212" s="159"/>
      <c r="B212" s="1638" t="s">
        <v>507</v>
      </c>
      <c r="C212" s="1954" t="str">
        <f>'Бюд.р.'!A495</f>
        <v>Закупка товаров, работ и услуг  для государственных (муниципальных) нужд</v>
      </c>
      <c r="D212" s="1718" t="s">
        <v>591</v>
      </c>
      <c r="E212" s="1110" t="s">
        <v>18</v>
      </c>
      <c r="F212" s="1110" t="str">
        <f>'Бюд.р.'!D496</f>
        <v>795 01 00</v>
      </c>
      <c r="G212" s="1110">
        <f>'Бюд.р.'!F495</f>
        <v>200</v>
      </c>
      <c r="H212" s="1413"/>
      <c r="I212" s="1190">
        <f>'Бюд.р.'!H496</f>
        <v>35</v>
      </c>
      <c r="J212" s="220"/>
      <c r="K212" s="176"/>
      <c r="L212" s="176"/>
      <c r="M212" s="210"/>
    </row>
    <row r="213" spans="1:13" ht="22.5">
      <c r="A213" s="159"/>
      <c r="B213" s="1912" t="s">
        <v>839</v>
      </c>
      <c r="C213" s="1951" t="s">
        <v>948</v>
      </c>
      <c r="D213" s="1921" t="s">
        <v>591</v>
      </c>
      <c r="E213" s="1106" t="s">
        <v>18</v>
      </c>
      <c r="F213" s="1106" t="s">
        <v>143</v>
      </c>
      <c r="G213" s="1106"/>
      <c r="H213" s="1599"/>
      <c r="I213" s="1192">
        <f>I214</f>
        <v>83.01</v>
      </c>
      <c r="J213" s="220"/>
      <c r="K213" s="176"/>
      <c r="L213" s="176"/>
      <c r="M213" s="210"/>
    </row>
    <row r="214" spans="1:13" ht="22.5" customHeight="1">
      <c r="A214" s="159"/>
      <c r="B214" s="1638" t="s">
        <v>1242</v>
      </c>
      <c r="C214" s="1954" t="str">
        <f>'Бюд.р.'!A504</f>
        <v>Закупка товаров, работ и услуг  для государственных (муниципальных) нужд</v>
      </c>
      <c r="D214" s="1718" t="s">
        <v>591</v>
      </c>
      <c r="E214" s="1110" t="s">
        <v>18</v>
      </c>
      <c r="F214" s="1110" t="str">
        <f>'Бюд.р.'!D505</f>
        <v>795 04 00</v>
      </c>
      <c r="G214" s="1110">
        <f>'Бюд.р.'!F504</f>
        <v>200</v>
      </c>
      <c r="H214" s="1413"/>
      <c r="I214" s="1190">
        <f>'Бюд.р.'!H505</f>
        <v>83.01</v>
      </c>
      <c r="J214" s="220"/>
      <c r="K214" s="176"/>
      <c r="L214" s="176"/>
      <c r="M214" s="210"/>
    </row>
    <row r="215" spans="1:13" ht="17.25" customHeight="1" hidden="1" thickBot="1">
      <c r="A215" s="159"/>
      <c r="B215" s="1910" t="s">
        <v>466</v>
      </c>
      <c r="C215" s="1945" t="s">
        <v>842</v>
      </c>
      <c r="D215" s="1919" t="s">
        <v>591</v>
      </c>
      <c r="E215" s="1879" t="s">
        <v>362</v>
      </c>
      <c r="F215" s="1890"/>
      <c r="G215" s="1890"/>
      <c r="H215" s="1995"/>
      <c r="I215" s="2006">
        <f>I216+I219</f>
        <v>10849.931999999999</v>
      </c>
      <c r="J215" s="224" t="e">
        <f>J216+#REF!</f>
        <v>#REF!</v>
      </c>
      <c r="K215" s="209" t="e">
        <f>K216+#REF!</f>
        <v>#REF!</v>
      </c>
      <c r="L215" s="209" t="e">
        <f>L216+#REF!</f>
        <v>#REF!</v>
      </c>
      <c r="M215" s="247" t="e">
        <f>M216+#REF!</f>
        <v>#REF!</v>
      </c>
    </row>
    <row r="216" spans="1:13" ht="15">
      <c r="A216" s="159"/>
      <c r="B216" s="2074" t="s">
        <v>504</v>
      </c>
      <c r="C216" s="2055" t="s">
        <v>641</v>
      </c>
      <c r="D216" s="2056" t="s">
        <v>591</v>
      </c>
      <c r="E216" s="2057" t="s">
        <v>363</v>
      </c>
      <c r="F216" s="2069"/>
      <c r="G216" s="2069"/>
      <c r="H216" s="2070"/>
      <c r="I216" s="2059">
        <f>I217</f>
        <v>9164.942</v>
      </c>
      <c r="J216" s="217">
        <f aca="true" t="shared" si="2" ref="J216:M217">J217</f>
        <v>849</v>
      </c>
      <c r="K216" s="93">
        <f t="shared" si="2"/>
        <v>707</v>
      </c>
      <c r="L216" s="93">
        <f t="shared" si="2"/>
        <v>197</v>
      </c>
      <c r="M216" s="241">
        <f t="shared" si="2"/>
        <v>253</v>
      </c>
    </row>
    <row r="217" spans="1:13" ht="57" customHeight="1">
      <c r="A217" s="159"/>
      <c r="B217" s="1912" t="s">
        <v>508</v>
      </c>
      <c r="C217" s="1503" t="str">
        <f>'Бюд.р.'!A511</f>
        <v>Ведомственная целевая программа по организации и проведению местных и участию в организации и проведении городских праздничных и иных зрелищных мероприятий, а также мероприятий по сохранению и развитию местных традиций и обрядов </v>
      </c>
      <c r="D217" s="1921" t="s">
        <v>591</v>
      </c>
      <c r="E217" s="1136" t="s">
        <v>363</v>
      </c>
      <c r="F217" s="1136" t="str">
        <f>'Бюд.р.'!D511</f>
        <v>795 09 00</v>
      </c>
      <c r="G217" s="1150"/>
      <c r="H217" s="1993"/>
      <c r="I217" s="1192">
        <f>I218</f>
        <v>9164.942</v>
      </c>
      <c r="J217" s="218">
        <f t="shared" si="2"/>
        <v>849</v>
      </c>
      <c r="K217" s="127">
        <f t="shared" si="2"/>
        <v>707</v>
      </c>
      <c r="L217" s="127">
        <f t="shared" si="2"/>
        <v>197</v>
      </c>
      <c r="M217" s="242">
        <f t="shared" si="2"/>
        <v>253</v>
      </c>
    </row>
    <row r="218" spans="1:13" ht="13.5" customHeight="1">
      <c r="A218" s="159"/>
      <c r="B218" s="1638" t="s">
        <v>509</v>
      </c>
      <c r="C218" s="1954" t="str">
        <f>'Бюд.р.'!A513</f>
        <v>Прочая закупка товаров, работ и услуг для муниципальных нужд</v>
      </c>
      <c r="D218" s="1718" t="s">
        <v>591</v>
      </c>
      <c r="E218" s="1110" t="s">
        <v>363</v>
      </c>
      <c r="F218" s="1110" t="str">
        <f>'Бюд.р.'!D513</f>
        <v>795 09 00</v>
      </c>
      <c r="G218" s="1110">
        <f>'Бюд.р.'!F513</f>
        <v>244</v>
      </c>
      <c r="H218" s="1993"/>
      <c r="I218" s="1190">
        <f>'Бюд.р.'!H513</f>
        <v>9164.942</v>
      </c>
      <c r="J218" s="219">
        <v>849</v>
      </c>
      <c r="K218" s="130">
        <v>707</v>
      </c>
      <c r="L218" s="130">
        <v>197</v>
      </c>
      <c r="M218" s="243">
        <v>253</v>
      </c>
    </row>
    <row r="219" spans="1:13" ht="21.75" customHeight="1">
      <c r="A219" s="159"/>
      <c r="B219" s="2074" t="s">
        <v>30</v>
      </c>
      <c r="C219" s="2459" t="s">
        <v>1192</v>
      </c>
      <c r="D219" s="2056" t="s">
        <v>591</v>
      </c>
      <c r="E219" s="2104" t="s">
        <v>1241</v>
      </c>
      <c r="F219" s="2069"/>
      <c r="G219" s="2069"/>
      <c r="H219" s="2070"/>
      <c r="I219" s="2059">
        <f>I220+I222</f>
        <v>1684.99</v>
      </c>
      <c r="J219" s="219"/>
      <c r="K219" s="130"/>
      <c r="L219" s="130"/>
      <c r="M219" s="243"/>
    </row>
    <row r="220" spans="1:13" ht="36" customHeight="1">
      <c r="A220" s="159"/>
      <c r="B220" s="1639" t="s">
        <v>34</v>
      </c>
      <c r="C220" s="1503" t="s">
        <v>1105</v>
      </c>
      <c r="D220" s="1932" t="s">
        <v>591</v>
      </c>
      <c r="E220" s="2419" t="s">
        <v>1241</v>
      </c>
      <c r="F220" s="1149" t="s">
        <v>1104</v>
      </c>
      <c r="G220" s="1149"/>
      <c r="H220" s="1439"/>
      <c r="I220" s="1196">
        <f>I221</f>
        <v>1511</v>
      </c>
      <c r="J220" s="219"/>
      <c r="K220" s="130"/>
      <c r="L220" s="130"/>
      <c r="M220" s="243"/>
    </row>
    <row r="221" spans="1:13" ht="25.5" customHeight="1">
      <c r="A221" s="159"/>
      <c r="B221" s="1638" t="s">
        <v>35</v>
      </c>
      <c r="C221" s="1954" t="str">
        <f>'Бюд.р.'!A521</f>
        <v>Закупка товаров, работ и услуг  для государственных (муниципальных) нужд</v>
      </c>
      <c r="D221" s="1718" t="s">
        <v>591</v>
      </c>
      <c r="E221" s="1880" t="s">
        <v>1241</v>
      </c>
      <c r="F221" s="1110" t="str">
        <f>'Бюд.р.'!D522</f>
        <v>795 06 00</v>
      </c>
      <c r="G221" s="1110">
        <f>'Бюд.р.'!F521</f>
        <v>200</v>
      </c>
      <c r="H221" s="1993"/>
      <c r="I221" s="1190">
        <f>'Бюд.р.'!H522</f>
        <v>1511</v>
      </c>
      <c r="J221" s="219"/>
      <c r="K221" s="130"/>
      <c r="L221" s="130"/>
      <c r="M221" s="243"/>
    </row>
    <row r="222" spans="1:13" ht="27" customHeight="1">
      <c r="A222" s="160"/>
      <c r="B222" s="1639" t="s">
        <v>1337</v>
      </c>
      <c r="C222" s="1951" t="str">
        <f>'Бюд.р.'!A526</f>
        <v>Ведомственная целевая программа по военно-патриотическому воспитанию граждан муниципального образования</v>
      </c>
      <c r="D222" s="1933">
        <f>'Бюд.р.'!B526</f>
        <v>968</v>
      </c>
      <c r="E222" s="1134">
        <f>'Бюд.р.'!C526</f>
        <v>804</v>
      </c>
      <c r="F222" s="1134" t="str">
        <f>'Бюд.р.'!D526</f>
        <v>795 08 00</v>
      </c>
      <c r="G222" s="1149"/>
      <c r="H222" s="1439"/>
      <c r="I222" s="1196">
        <f>I223</f>
        <v>173.99</v>
      </c>
      <c r="J222" s="224"/>
      <c r="K222" s="209"/>
      <c r="L222" s="209"/>
      <c r="M222" s="247"/>
    </row>
    <row r="223" spans="1:13" ht="23.25" customHeight="1">
      <c r="A223" s="160"/>
      <c r="B223" s="1638" t="s">
        <v>1338</v>
      </c>
      <c r="C223" s="1971" t="str">
        <f>'Бюд.р.'!A527</f>
        <v>Закупка товаров, работ и услуг  для государственных (муниципальных) нужд</v>
      </c>
      <c r="D223" s="1939">
        <f>'Бюд.р.'!B528</f>
        <v>968</v>
      </c>
      <c r="E223" s="1223">
        <f>'Бюд.р.'!C528</f>
        <v>804</v>
      </c>
      <c r="F223" s="1223" t="str">
        <f>'Бюд.р.'!D528</f>
        <v>795 08 00</v>
      </c>
      <c r="G223" s="1223">
        <f>'Бюд.р.'!F527</f>
        <v>200</v>
      </c>
      <c r="H223" s="1439"/>
      <c r="I223" s="1190">
        <f>'Бюд.р.'!H528</f>
        <v>173.99</v>
      </c>
      <c r="J223" s="224"/>
      <c r="K223" s="209"/>
      <c r="L223" s="209"/>
      <c r="M223" s="247"/>
    </row>
    <row r="224" spans="1:13" ht="14.25" customHeight="1">
      <c r="A224" s="160"/>
      <c r="B224" s="2074" t="s">
        <v>68</v>
      </c>
      <c r="C224" s="2060" t="s">
        <v>899</v>
      </c>
      <c r="D224" s="2056" t="s">
        <v>591</v>
      </c>
      <c r="E224" s="2069" t="s">
        <v>903</v>
      </c>
      <c r="F224" s="2069"/>
      <c r="G224" s="2069"/>
      <c r="H224" s="2070"/>
      <c r="I224" s="2059">
        <f>I225</f>
        <v>959.531</v>
      </c>
      <c r="J224" s="224"/>
      <c r="K224" s="209"/>
      <c r="L224" s="209"/>
      <c r="M224" s="247"/>
    </row>
    <row r="225" spans="1:13" ht="36" customHeight="1">
      <c r="A225" s="160"/>
      <c r="B225" s="1912" t="s">
        <v>69</v>
      </c>
      <c r="C225" s="1951" t="str">
        <f>'Бюд.р.'!A533</f>
        <v>РАСХОДЫ НА ПРЕДОСТАВЛЕНИЕ ДОПЛАТ К ПЕНСИИ ЛИЦАМ, ЗАМЕЩАВШИМ МУНИЦИПАЛЬНЫЕ ДОЛЖНОСТИ И ДОЛЖНОСТИ МУНИЦИПАЛЬНОЙ СЛУЖБЫ</v>
      </c>
      <c r="D225" s="1921" t="s">
        <v>591</v>
      </c>
      <c r="E225" s="1136" t="s">
        <v>903</v>
      </c>
      <c r="F225" s="1120" t="s">
        <v>901</v>
      </c>
      <c r="G225" s="1134"/>
      <c r="H225" s="1413"/>
      <c r="I225" s="1193">
        <f>I226</f>
        <v>959.531</v>
      </c>
      <c r="J225" s="224"/>
      <c r="K225" s="209"/>
      <c r="L225" s="209"/>
      <c r="M225" s="247"/>
    </row>
    <row r="226" spans="1:13" ht="15.75" customHeight="1">
      <c r="A226" s="160"/>
      <c r="B226" s="1638" t="s">
        <v>70</v>
      </c>
      <c r="C226" s="1954" t="str">
        <f>'Бюд.р.'!A534</f>
        <v>Социальное обеспечение и иные выплаты населению</v>
      </c>
      <c r="D226" s="1718" t="s">
        <v>591</v>
      </c>
      <c r="E226" s="1151" t="s">
        <v>903</v>
      </c>
      <c r="F226" s="1152" t="str">
        <f>'Бюд.р.'!D535</f>
        <v>505 01 00</v>
      </c>
      <c r="G226" s="1124">
        <f>'Бюд.р.'!F534</f>
        <v>300</v>
      </c>
      <c r="H226" s="1424"/>
      <c r="I226" s="1194">
        <f>'Бюд.р.'!H537</f>
        <v>959.531</v>
      </c>
      <c r="J226" s="224"/>
      <c r="K226" s="209"/>
      <c r="L226" s="209"/>
      <c r="M226" s="247"/>
    </row>
    <row r="227" spans="1:13" ht="12.75" customHeight="1">
      <c r="A227" s="160"/>
      <c r="B227" s="2074" t="s">
        <v>906</v>
      </c>
      <c r="C227" s="2060" t="s">
        <v>648</v>
      </c>
      <c r="D227" s="2056" t="s">
        <v>591</v>
      </c>
      <c r="E227" s="2069" t="s">
        <v>766</v>
      </c>
      <c r="F227" s="2069"/>
      <c r="G227" s="2069"/>
      <c r="H227" s="2070"/>
      <c r="I227" s="2059">
        <f>I228+I231+I233</f>
        <v>15395.1</v>
      </c>
      <c r="J227" s="217" t="e">
        <f>J231</f>
        <v>#REF!</v>
      </c>
      <c r="K227" s="93" t="e">
        <f>#REF!+#REF!</f>
        <v>#REF!</v>
      </c>
      <c r="L227" s="93" t="e">
        <f>#REF!+#REF!</f>
        <v>#REF!</v>
      </c>
      <c r="M227" s="241" t="e">
        <f>#REF!+#REF!</f>
        <v>#REF!</v>
      </c>
    </row>
    <row r="228" spans="1:13" ht="34.5" customHeight="1">
      <c r="A228" s="160"/>
      <c r="B228" s="1639" t="s">
        <v>907</v>
      </c>
      <c r="C228" s="1951" t="str">
        <f>'Бюд.р.'!A539</f>
        <v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v>
      </c>
      <c r="D228" s="1921" t="s">
        <v>591</v>
      </c>
      <c r="E228" s="1136" t="s">
        <v>766</v>
      </c>
      <c r="F228" s="1120" t="str">
        <f>'Бюд.р.'!D539</f>
        <v>002 80 31</v>
      </c>
      <c r="G228" s="1134"/>
      <c r="H228" s="1413"/>
      <c r="I228" s="1193">
        <f>SUM(I229:I230)</f>
        <v>3723.9999999999995</v>
      </c>
      <c r="J228" s="217"/>
      <c r="K228" s="217"/>
      <c r="L228" s="217"/>
      <c r="M228" s="979"/>
    </row>
    <row r="229" spans="1:13" ht="36.75" customHeight="1">
      <c r="A229" s="160"/>
      <c r="B229" s="1638" t="s">
        <v>908</v>
      </c>
      <c r="C229" s="1954" t="str">
        <f>'Бюд.р.'!A540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229" s="1718" t="s">
        <v>591</v>
      </c>
      <c r="E229" s="1151" t="s">
        <v>766</v>
      </c>
      <c r="F229" s="1152" t="str">
        <f>'Бюд.р.'!D541</f>
        <v>002  80 31</v>
      </c>
      <c r="G229" s="1124">
        <f>'Бюд.р.'!F540</f>
        <v>100</v>
      </c>
      <c r="H229" s="1424"/>
      <c r="I229" s="1194">
        <f>'Бюд.р.'!H541</f>
        <v>3469.0159999999996</v>
      </c>
      <c r="J229" s="217"/>
      <c r="K229" s="217"/>
      <c r="L229" s="217"/>
      <c r="M229" s="979"/>
    </row>
    <row r="230" spans="1:13" ht="24" customHeight="1">
      <c r="A230" s="160"/>
      <c r="B230" s="1638" t="s">
        <v>1243</v>
      </c>
      <c r="C230" s="1954" t="str">
        <f>'Бюд.р.'!A546</f>
        <v>Закупка товаров, работ и услуг  для государственных (муниципальных) нужд</v>
      </c>
      <c r="D230" s="1718">
        <v>968</v>
      </c>
      <c r="E230" s="1151">
        <v>1004</v>
      </c>
      <c r="F230" s="1152" t="str">
        <f>'Бюд.р.'!D553</f>
        <v>002 80 31</v>
      </c>
      <c r="G230" s="1124">
        <f>'Бюд.р.'!F546</f>
        <v>200</v>
      </c>
      <c r="H230" s="1424"/>
      <c r="I230" s="1194">
        <f>'Бюд.р.'!H546</f>
        <v>254.98399999999998</v>
      </c>
      <c r="J230" s="217"/>
      <c r="K230" s="217"/>
      <c r="L230" s="217"/>
      <c r="M230" s="979"/>
    </row>
    <row r="231" spans="1:13" ht="36" customHeight="1">
      <c r="A231" s="160"/>
      <c r="B231" s="1639" t="s">
        <v>1244</v>
      </c>
      <c r="C231" s="1947" t="str">
        <f>'Бюд.р.'!A560</f>
        <v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v>
      </c>
      <c r="D231" s="1921" t="s">
        <v>591</v>
      </c>
      <c r="E231" s="1136" t="s">
        <v>766</v>
      </c>
      <c r="F231" s="1136" t="str">
        <f>'Бюд.р.'!D560</f>
        <v>511 80 32</v>
      </c>
      <c r="G231" s="1136"/>
      <c r="H231" s="1601"/>
      <c r="I231" s="1192">
        <f>I232</f>
        <v>8777.5</v>
      </c>
      <c r="J231" s="218" t="e">
        <f>#REF!+#REF!</f>
        <v>#REF!</v>
      </c>
      <c r="K231" s="218" t="e">
        <f>#REF!+#REF!</f>
        <v>#REF!</v>
      </c>
      <c r="L231" s="218" t="e">
        <f>#REF!+#REF!</f>
        <v>#REF!</v>
      </c>
      <c r="M231" s="218" t="e">
        <f>#REF!+#REF!</f>
        <v>#REF!</v>
      </c>
    </row>
    <row r="232" spans="1:13" ht="18.75" customHeight="1">
      <c r="A232" s="160"/>
      <c r="B232" s="1638" t="s">
        <v>1245</v>
      </c>
      <c r="C232" s="2457" t="str">
        <f>'Бюд.р.'!A561</f>
        <v>Социальное обеспечение и иные выплаты населению</v>
      </c>
      <c r="D232" s="1718" t="s">
        <v>591</v>
      </c>
      <c r="E232" s="1151" t="s">
        <v>766</v>
      </c>
      <c r="F232" s="1148" t="str">
        <f>'Бюд.р.'!D562</f>
        <v>511 80 32</v>
      </c>
      <c r="G232" s="1151">
        <f>'Бюд.р.'!F561</f>
        <v>300</v>
      </c>
      <c r="H232" s="1601"/>
      <c r="I232" s="1190">
        <f>'Бюд.р.'!H562</f>
        <v>8777.5</v>
      </c>
      <c r="J232" s="219">
        <v>1470</v>
      </c>
      <c r="K232" s="130">
        <v>1500</v>
      </c>
      <c r="L232" s="130">
        <v>1515</v>
      </c>
      <c r="M232" s="243">
        <v>1515</v>
      </c>
    </row>
    <row r="233" spans="1:13" ht="34.5" customHeight="1">
      <c r="A233" s="597"/>
      <c r="B233" s="1639" t="s">
        <v>1246</v>
      </c>
      <c r="C233" s="1947" t="str">
        <f>'Бюд.р.'!A565</f>
        <v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v>
      </c>
      <c r="D233" s="1921" t="s">
        <v>591</v>
      </c>
      <c r="E233" s="1136" t="s">
        <v>766</v>
      </c>
      <c r="F233" s="1136" t="str">
        <f>'Бюд.р.'!D565</f>
        <v>511 80 33</v>
      </c>
      <c r="G233" s="1136"/>
      <c r="H233" s="1999"/>
      <c r="I233" s="1193">
        <f>I234</f>
        <v>2893.6</v>
      </c>
      <c r="J233" s="598"/>
      <c r="K233" s="598"/>
      <c r="L233" s="598"/>
      <c r="M233" s="198"/>
    </row>
    <row r="234" spans="1:13" ht="18" customHeight="1">
      <c r="A234" s="597"/>
      <c r="B234" s="1638" t="s">
        <v>1247</v>
      </c>
      <c r="C234" s="2457" t="str">
        <f>'Бюд.р.'!A566</f>
        <v>Социальное обеспечение и иные выплаты населению</v>
      </c>
      <c r="D234" s="1718" t="s">
        <v>591</v>
      </c>
      <c r="E234" s="1151" t="s">
        <v>766</v>
      </c>
      <c r="F234" s="1148" t="str">
        <f>'Бюд.р.'!D567</f>
        <v>511 80 33</v>
      </c>
      <c r="G234" s="1151">
        <f>'Бюд.р.'!F566</f>
        <v>300</v>
      </c>
      <c r="H234" s="1997"/>
      <c r="I234" s="1190">
        <f>'Бюд.р.'!H567</f>
        <v>2893.6</v>
      </c>
      <c r="J234" s="598"/>
      <c r="K234" s="598"/>
      <c r="L234" s="598"/>
      <c r="M234" s="198"/>
    </row>
    <row r="235" spans="1:13" ht="40.5" customHeight="1" hidden="1" thickBot="1">
      <c r="A235" s="279"/>
      <c r="B235" s="1638"/>
      <c r="C235" s="1968" t="s">
        <v>807</v>
      </c>
      <c r="D235" s="1935" t="s">
        <v>808</v>
      </c>
      <c r="E235" s="1151"/>
      <c r="F235" s="1148"/>
      <c r="G235" s="1151"/>
      <c r="H235" s="1440"/>
      <c r="I235" s="2008">
        <f>I236</f>
        <v>0</v>
      </c>
      <c r="J235" s="248"/>
      <c r="K235" s="248"/>
      <c r="L235" s="248"/>
      <c r="M235" s="360"/>
    </row>
    <row r="236" spans="1:13" ht="24.75" customHeight="1" hidden="1" thickBot="1">
      <c r="A236" s="279"/>
      <c r="B236" s="1913" t="s">
        <v>607</v>
      </c>
      <c r="C236" s="1969" t="s">
        <v>102</v>
      </c>
      <c r="D236" s="1938" t="s">
        <v>808</v>
      </c>
      <c r="E236" s="1891" t="s">
        <v>457</v>
      </c>
      <c r="F236" s="1891"/>
      <c r="G236" s="1891"/>
      <c r="H236" s="2000"/>
      <c r="I236" s="2009">
        <f>I237</f>
        <v>0</v>
      </c>
      <c r="J236" s="248"/>
      <c r="K236" s="248"/>
      <c r="L236" s="248"/>
      <c r="M236" s="360"/>
    </row>
    <row r="237" spans="1:13" ht="31.5" customHeight="1" hidden="1" thickBot="1">
      <c r="A237" s="279"/>
      <c r="B237" s="1914" t="s">
        <v>68</v>
      </c>
      <c r="C237" s="1970" t="s">
        <v>21</v>
      </c>
      <c r="D237" s="1920">
        <v>917</v>
      </c>
      <c r="E237" s="1103" t="s">
        <v>510</v>
      </c>
      <c r="F237" s="1157"/>
      <c r="G237" s="1490"/>
      <c r="H237" s="1444"/>
      <c r="I237" s="1188">
        <f>I238</f>
        <v>0</v>
      </c>
      <c r="J237" s="248"/>
      <c r="K237" s="248"/>
      <c r="L237" s="248"/>
      <c r="M237" s="360"/>
    </row>
    <row r="238" spans="1:13" ht="24.75" customHeight="1" hidden="1" thickBot="1">
      <c r="A238" s="279"/>
      <c r="B238" s="1639" t="s">
        <v>69</v>
      </c>
      <c r="C238" s="1953" t="s">
        <v>141</v>
      </c>
      <c r="D238" s="1937">
        <v>917</v>
      </c>
      <c r="E238" s="1140" t="s">
        <v>510</v>
      </c>
      <c r="F238" s="1140" t="s">
        <v>142</v>
      </c>
      <c r="G238" s="1151"/>
      <c r="H238" s="1440"/>
      <c r="I238" s="1192">
        <f>I239</f>
        <v>0</v>
      </c>
      <c r="J238" s="248"/>
      <c r="K238" s="248"/>
      <c r="L238" s="248"/>
      <c r="M238" s="360"/>
    </row>
    <row r="239" spans="1:13" ht="16.5" customHeight="1" hidden="1" thickBot="1">
      <c r="A239" s="279"/>
      <c r="B239" s="1638" t="s">
        <v>70</v>
      </c>
      <c r="C239" s="1971" t="s">
        <v>415</v>
      </c>
      <c r="D239" s="1939">
        <v>917</v>
      </c>
      <c r="E239" s="1223" t="s">
        <v>510</v>
      </c>
      <c r="F239" s="1223" t="s">
        <v>142</v>
      </c>
      <c r="G239" s="1223">
        <v>500</v>
      </c>
      <c r="H239" s="1440"/>
      <c r="I239" s="1190">
        <f>'Бюд.р.'!H575</f>
        <v>0</v>
      </c>
      <c r="J239" s="248"/>
      <c r="K239" s="248"/>
      <c r="L239" s="248"/>
      <c r="M239" s="360"/>
    </row>
    <row r="240" spans="1:13" ht="14.25" customHeight="1" thickBot="1">
      <c r="A240" s="279"/>
      <c r="B240" s="2472" t="s">
        <v>831</v>
      </c>
      <c r="C240" s="2473" t="s">
        <v>821</v>
      </c>
      <c r="D240" s="2474">
        <v>968</v>
      </c>
      <c r="E240" s="2475">
        <v>1100</v>
      </c>
      <c r="F240" s="2475"/>
      <c r="G240" s="2475"/>
      <c r="H240" s="2476"/>
      <c r="I240" s="2477">
        <f>I241</f>
        <v>3380.6850000000004</v>
      </c>
      <c r="J240" s="248"/>
      <c r="K240" s="248"/>
      <c r="L240" s="248"/>
      <c r="M240" s="360"/>
    </row>
    <row r="241" spans="1:13" ht="14.25" customHeight="1" thickBot="1">
      <c r="A241" s="279"/>
      <c r="B241" s="2077" t="s">
        <v>995</v>
      </c>
      <c r="C241" s="2078" t="s">
        <v>822</v>
      </c>
      <c r="D241" s="2079">
        <v>968</v>
      </c>
      <c r="E241" s="2080">
        <v>1102</v>
      </c>
      <c r="F241" s="2080"/>
      <c r="G241" s="2080"/>
      <c r="H241" s="2081"/>
      <c r="I241" s="2082">
        <f>I242</f>
        <v>3380.6850000000004</v>
      </c>
      <c r="J241" s="248"/>
      <c r="K241" s="248"/>
      <c r="L241" s="248"/>
      <c r="M241" s="360"/>
    </row>
    <row r="242" spans="1:13" ht="33.75" customHeight="1" thickBot="1">
      <c r="A242" s="279"/>
      <c r="B242" s="1639" t="s">
        <v>996</v>
      </c>
      <c r="C242" s="1951" t="s">
        <v>647</v>
      </c>
      <c r="D242" s="1924">
        <v>968</v>
      </c>
      <c r="E242" s="1120">
        <v>1102</v>
      </c>
      <c r="F242" s="1120" t="s">
        <v>943</v>
      </c>
      <c r="G242" s="1120"/>
      <c r="H242" s="2002"/>
      <c r="I242" s="1193">
        <f>I243</f>
        <v>3380.6850000000004</v>
      </c>
      <c r="J242" s="248"/>
      <c r="K242" s="248"/>
      <c r="L242" s="248"/>
      <c r="M242" s="360"/>
    </row>
    <row r="243" spans="1:13" ht="18" customHeight="1" hidden="1" thickBot="1">
      <c r="A243" s="279"/>
      <c r="B243" s="1638" t="s">
        <v>1103</v>
      </c>
      <c r="C243" s="1954" t="str">
        <f>'Бюд.р.'!A582</f>
        <v>Иные закупки товаров, работ и услуг для муниципальных нужд</v>
      </c>
      <c r="D243" s="1926">
        <v>968</v>
      </c>
      <c r="E243" s="1124">
        <v>1102</v>
      </c>
      <c r="F243" s="1124" t="s">
        <v>943</v>
      </c>
      <c r="G243" s="1124">
        <v>240</v>
      </c>
      <c r="H243" s="2002"/>
      <c r="I243" s="1194">
        <f>SUM(I244:I245)</f>
        <v>3380.6850000000004</v>
      </c>
      <c r="J243" s="248"/>
      <c r="K243" s="248"/>
      <c r="L243" s="248"/>
      <c r="M243" s="360"/>
    </row>
    <row r="244" spans="1:13" ht="23.25" customHeight="1" hidden="1" thickBot="1">
      <c r="A244" s="279"/>
      <c r="B244" s="1638" t="s">
        <v>185</v>
      </c>
      <c r="C244" s="1954" t="str">
        <f>'Бюд.р.'!A583</f>
        <v>Закупка товаров, работ, услуг в сфере информационно-коммуникационных технологий</v>
      </c>
      <c r="D244" s="1926">
        <f>'Бюд.р.'!B360</f>
        <v>968</v>
      </c>
      <c r="E244" s="1124">
        <v>1102</v>
      </c>
      <c r="F244" s="1124" t="s">
        <v>943</v>
      </c>
      <c r="G244" s="1124">
        <v>242</v>
      </c>
      <c r="H244" s="1998"/>
      <c r="I244" s="1194">
        <f>'Бюд.р.'!H583</f>
        <v>0</v>
      </c>
      <c r="J244" s="248"/>
      <c r="K244" s="248"/>
      <c r="L244" s="248"/>
      <c r="M244" s="360"/>
    </row>
    <row r="245" spans="1:13" ht="25.5" customHeight="1" thickBot="1">
      <c r="A245" s="279"/>
      <c r="B245" s="1638" t="s">
        <v>997</v>
      </c>
      <c r="C245" s="1954" t="str">
        <f>'Бюд.р.'!A581</f>
        <v>Закупка товаров, работ и услуг  для государственных (муниципальных) нужд</v>
      </c>
      <c r="D245" s="1926">
        <f>'Бюд.р.'!B370</f>
        <v>968</v>
      </c>
      <c r="E245" s="1124">
        <v>1102</v>
      </c>
      <c r="F245" s="1124" t="str">
        <f>'Бюд.р.'!D586</f>
        <v>795 10 00</v>
      </c>
      <c r="G245" s="1124">
        <f>'Бюд.р.'!F581</f>
        <v>200</v>
      </c>
      <c r="H245" s="1998"/>
      <c r="I245" s="1194">
        <f>'Бюд.р.'!H586</f>
        <v>3380.6850000000004</v>
      </c>
      <c r="J245" s="248"/>
      <c r="K245" s="248"/>
      <c r="L245" s="248"/>
      <c r="M245" s="360"/>
    </row>
    <row r="246" spans="1:13" ht="16.5" customHeight="1" hidden="1" thickBot="1">
      <c r="A246" s="279"/>
      <c r="B246" s="1915" t="s">
        <v>832</v>
      </c>
      <c r="C246" s="1972" t="s">
        <v>823</v>
      </c>
      <c r="D246" s="1940">
        <v>968</v>
      </c>
      <c r="E246" s="1892">
        <v>1200</v>
      </c>
      <c r="F246" s="1892"/>
      <c r="G246" s="1892"/>
      <c r="H246" s="2001"/>
      <c r="I246" s="2010">
        <f>I247</f>
        <v>1464.75</v>
      </c>
      <c r="J246" s="248"/>
      <c r="K246" s="248"/>
      <c r="L246" s="248"/>
      <c r="M246" s="360"/>
    </row>
    <row r="247" spans="1:13" ht="13.5" customHeight="1" thickBot="1">
      <c r="A247" s="279"/>
      <c r="B247" s="2077" t="s">
        <v>1101</v>
      </c>
      <c r="C247" s="2078" t="s">
        <v>642</v>
      </c>
      <c r="D247" s="2079">
        <v>968</v>
      </c>
      <c r="E247" s="2080">
        <v>1202</v>
      </c>
      <c r="F247" s="2080"/>
      <c r="G247" s="2080"/>
      <c r="H247" s="2081"/>
      <c r="I247" s="2082">
        <f>I248</f>
        <v>1464.75</v>
      </c>
      <c r="J247" s="248"/>
      <c r="K247" s="248"/>
      <c r="L247" s="248"/>
      <c r="M247" s="360"/>
    </row>
    <row r="248" spans="1:13" ht="23.25" customHeight="1" thickBot="1">
      <c r="A248" s="279"/>
      <c r="B248" s="1639" t="s">
        <v>1102</v>
      </c>
      <c r="C248" s="1951" t="str">
        <f>'Бюд.р.'!A594</f>
        <v>ОПУБЛИКОВАНИЕ МУНИЦИПАЛЬНЫХ ПРАВОВЫХ АКТОВ, ИНОЙ ИНФОРМАЦИИ </v>
      </c>
      <c r="D248" s="1925">
        <v>968</v>
      </c>
      <c r="E248" s="1122">
        <v>1202</v>
      </c>
      <c r="F248" s="1122" t="s">
        <v>646</v>
      </c>
      <c r="G248" s="1122"/>
      <c r="H248" s="2003"/>
      <c r="I248" s="1193">
        <f>I249</f>
        <v>1464.75</v>
      </c>
      <c r="J248" s="248"/>
      <c r="K248" s="248"/>
      <c r="L248" s="248"/>
      <c r="M248" s="360"/>
    </row>
    <row r="249" spans="1:13" ht="23.25" customHeight="1" thickBot="1">
      <c r="A249" s="279"/>
      <c r="B249" s="1649" t="s">
        <v>1103</v>
      </c>
      <c r="C249" s="1973" t="str">
        <f>'Бюд.р.'!A595</f>
        <v>Закупка товаров, работ и услуг  для государственных (муниципальных) нужд</v>
      </c>
      <c r="D249" s="1941">
        <v>968</v>
      </c>
      <c r="E249" s="1328">
        <v>1202</v>
      </c>
      <c r="F249" s="1328" t="str">
        <f>'Бюд.р.'!D596</f>
        <v>457 03 00</v>
      </c>
      <c r="G249" s="1328">
        <f>'Бюд.р.'!F595</f>
        <v>200</v>
      </c>
      <c r="H249" s="2004"/>
      <c r="I249" s="1198">
        <f>'Бюд.р.'!H596</f>
        <v>1464.75</v>
      </c>
      <c r="J249" s="248"/>
      <c r="K249" s="248"/>
      <c r="L249" s="248"/>
      <c r="M249" s="360"/>
    </row>
    <row r="250" spans="1:13" ht="16.5" customHeight="1" thickBot="1">
      <c r="A250" s="279"/>
      <c r="B250" s="1872"/>
      <c r="C250" s="1873" t="s">
        <v>294</v>
      </c>
      <c r="D250" s="1874"/>
      <c r="E250" s="1875"/>
      <c r="F250" s="1875"/>
      <c r="G250" s="1876"/>
      <c r="H250" s="1877"/>
      <c r="I250" s="1878">
        <f>I25+I35+I72</f>
        <v>121000</v>
      </c>
      <c r="J250" s="248"/>
      <c r="K250" s="248"/>
      <c r="L250" s="248"/>
      <c r="M250" s="360"/>
    </row>
    <row r="251" spans="1:13" ht="19.5" customHeight="1" thickBot="1">
      <c r="A251" s="279"/>
      <c r="B251" s="1507"/>
      <c r="C251" s="1508" t="s">
        <v>334</v>
      </c>
      <c r="D251" s="1509"/>
      <c r="E251" s="1509"/>
      <c r="F251" s="3155" t="s">
        <v>1261</v>
      </c>
      <c r="G251" s="3155"/>
      <c r="H251" s="3155"/>
      <c r="I251" s="3155"/>
      <c r="J251" s="3155"/>
      <c r="K251" s="3155"/>
      <c r="L251" s="3155"/>
      <c r="M251" s="360"/>
    </row>
    <row r="252" spans="1:13" ht="22.5" customHeight="1" thickBot="1">
      <c r="A252" s="261" t="s">
        <v>679</v>
      </c>
      <c r="B252" s="1507"/>
      <c r="C252" s="375" t="s">
        <v>335</v>
      </c>
      <c r="D252" s="1510"/>
      <c r="E252" s="1511"/>
      <c r="F252" s="3153" t="s">
        <v>1229</v>
      </c>
      <c r="G252" s="3153"/>
      <c r="H252" s="3153"/>
      <c r="I252" s="3153"/>
      <c r="J252" s="3153"/>
      <c r="K252" s="3153"/>
      <c r="L252" s="3153"/>
      <c r="M252" s="281" t="e">
        <f>M35</f>
        <v>#REF!</v>
      </c>
    </row>
    <row r="253" spans="1:13" ht="12.75" hidden="1">
      <c r="A253" s="48" t="s">
        <v>100</v>
      </c>
      <c r="B253" s="231"/>
      <c r="C253" s="232" t="s">
        <v>258</v>
      </c>
      <c r="D253" s="233"/>
      <c r="E253" s="234" t="s">
        <v>766</v>
      </c>
      <c r="F253" s="235" t="s">
        <v>418</v>
      </c>
      <c r="G253" s="235">
        <v>755</v>
      </c>
      <c r="H253" s="234" t="s">
        <v>242</v>
      </c>
      <c r="I253" s="225">
        <f aca="true" t="shared" si="3" ref="I253:I271">SUM(J253:M253)</f>
        <v>0</v>
      </c>
      <c r="J253" s="236"/>
      <c r="K253" s="236"/>
      <c r="L253" s="236"/>
      <c r="M253" s="236"/>
    </row>
    <row r="254" spans="1:13" ht="13.5" hidden="1" thickBot="1">
      <c r="A254" s="51" t="s">
        <v>651</v>
      </c>
      <c r="B254" s="170"/>
      <c r="C254" s="171" t="s">
        <v>767</v>
      </c>
      <c r="D254" s="26"/>
      <c r="E254" s="13" t="s">
        <v>766</v>
      </c>
      <c r="F254" s="13" t="s">
        <v>418</v>
      </c>
      <c r="G254" s="13" t="s">
        <v>290</v>
      </c>
      <c r="H254" s="13" t="s">
        <v>291</v>
      </c>
      <c r="I254" s="201">
        <f t="shared" si="3"/>
        <v>0</v>
      </c>
      <c r="J254" s="198"/>
      <c r="K254" s="198"/>
      <c r="L254" s="198"/>
      <c r="M254" s="198"/>
    </row>
    <row r="255" spans="1:13" ht="21" customHeight="1" hidden="1" thickBot="1">
      <c r="A255" s="161"/>
      <c r="B255" s="1176"/>
      <c r="C255" s="175" t="s">
        <v>294</v>
      </c>
      <c r="D255" s="173"/>
      <c r="E255" s="174"/>
      <c r="F255" s="174"/>
      <c r="G255" s="174"/>
      <c r="H255" s="174"/>
      <c r="I255" s="201">
        <f t="shared" si="3"/>
        <v>0</v>
      </c>
      <c r="J255" s="199"/>
      <c r="K255" s="199"/>
      <c r="L255" s="199"/>
      <c r="M255" s="199"/>
    </row>
    <row r="256" spans="3:13" ht="12.75" hidden="1">
      <c r="C256" t="s">
        <v>798</v>
      </c>
      <c r="I256" s="201">
        <f t="shared" si="3"/>
        <v>0</v>
      </c>
      <c r="J256" s="38"/>
      <c r="K256" s="38"/>
      <c r="L256" s="38"/>
      <c r="M256" s="38"/>
    </row>
    <row r="257" spans="3:13" ht="12.75" hidden="1">
      <c r="C257" s="27" t="s">
        <v>776</v>
      </c>
      <c r="D257" s="27"/>
      <c r="E257" s="27"/>
      <c r="F257" s="27"/>
      <c r="G257" s="27"/>
      <c r="H257" s="27"/>
      <c r="I257" s="201">
        <f t="shared" si="3"/>
        <v>0</v>
      </c>
      <c r="J257" s="27"/>
      <c r="K257" s="27"/>
      <c r="L257" s="27"/>
      <c r="M257" s="27"/>
    </row>
    <row r="258" spans="3:9" ht="12.75" hidden="1">
      <c r="C258" t="s">
        <v>797</v>
      </c>
      <c r="I258" s="201">
        <f t="shared" si="3"/>
        <v>0</v>
      </c>
    </row>
    <row r="259" spans="3:9" ht="12.75" hidden="1">
      <c r="C259" t="s">
        <v>775</v>
      </c>
      <c r="I259" s="201">
        <f t="shared" si="3"/>
        <v>0</v>
      </c>
    </row>
    <row r="260" spans="3:9" ht="12.75" hidden="1">
      <c r="C260" t="s">
        <v>774</v>
      </c>
      <c r="I260" s="201">
        <f t="shared" si="3"/>
        <v>0</v>
      </c>
    </row>
    <row r="261" ht="12.75" hidden="1">
      <c r="I261" s="201">
        <f t="shared" si="3"/>
        <v>0</v>
      </c>
    </row>
    <row r="262" spans="3:13" ht="12.75" hidden="1">
      <c r="C262" s="121" t="s">
        <v>779</v>
      </c>
      <c r="D262" s="87"/>
      <c r="E262" s="87"/>
      <c r="F262" s="87"/>
      <c r="G262" s="87"/>
      <c r="H262" s="87"/>
      <c r="I262" s="201">
        <f t="shared" si="3"/>
        <v>0</v>
      </c>
      <c r="J262" s="87"/>
      <c r="K262" s="87"/>
      <c r="L262" s="87"/>
      <c r="M262" s="87"/>
    </row>
    <row r="263" spans="3:13" ht="12.75" hidden="1">
      <c r="C263" s="117" t="s">
        <v>777</v>
      </c>
      <c r="D263" s="38"/>
      <c r="E263" s="38"/>
      <c r="F263" s="38" t="e">
        <f>#REF!-#REF!</f>
        <v>#REF!</v>
      </c>
      <c r="G263" s="38"/>
      <c r="H263" s="38"/>
      <c r="I263" s="201">
        <f t="shared" si="3"/>
        <v>0</v>
      </c>
      <c r="J263" s="38"/>
      <c r="K263" s="38"/>
      <c r="L263" s="38"/>
      <c r="M263" s="38"/>
    </row>
    <row r="264" spans="3:13" ht="13.5" hidden="1" thickBot="1">
      <c r="C264" s="118" t="s">
        <v>773</v>
      </c>
      <c r="D264" s="119"/>
      <c r="E264" s="119"/>
      <c r="F264" s="38" t="e">
        <f>#REF!-#REF!</f>
        <v>#REF!</v>
      </c>
      <c r="G264" s="119"/>
      <c r="H264" s="119"/>
      <c r="I264" s="201">
        <f t="shared" si="3"/>
        <v>0</v>
      </c>
      <c r="J264" s="119"/>
      <c r="K264" s="119"/>
      <c r="L264" s="119"/>
      <c r="M264" s="119"/>
    </row>
    <row r="265" spans="3:13" ht="12.75" hidden="1">
      <c r="C265" s="121" t="s">
        <v>778</v>
      </c>
      <c r="D265" s="87"/>
      <c r="E265" s="87"/>
      <c r="F265" s="87"/>
      <c r="G265" s="87"/>
      <c r="H265" s="87"/>
      <c r="I265" s="201">
        <f t="shared" si="3"/>
        <v>0</v>
      </c>
      <c r="J265" s="87"/>
      <c r="K265" s="87"/>
      <c r="L265" s="87"/>
      <c r="M265" s="87"/>
    </row>
    <row r="266" spans="3:13" ht="12.75" hidden="1">
      <c r="C266" s="117" t="s">
        <v>777</v>
      </c>
      <c r="D266" s="38"/>
      <c r="E266" s="38"/>
      <c r="F266" s="115" t="e">
        <f>#REF!-#REF!</f>
        <v>#REF!</v>
      </c>
      <c r="G266" s="38"/>
      <c r="H266" s="38"/>
      <c r="I266" s="201">
        <f t="shared" si="3"/>
        <v>0</v>
      </c>
      <c r="J266" s="115"/>
      <c r="K266" s="115"/>
      <c r="L266" s="115"/>
      <c r="M266" s="115"/>
    </row>
    <row r="267" spans="3:13" ht="13.5" hidden="1" thickBot="1">
      <c r="C267" s="118" t="s">
        <v>773</v>
      </c>
      <c r="D267" s="119"/>
      <c r="E267" s="119"/>
      <c r="F267" s="120" t="e">
        <f>#REF!-#REF!</f>
        <v>#REF!</v>
      </c>
      <c r="G267" s="119"/>
      <c r="H267" s="119"/>
      <c r="I267" s="201">
        <f t="shared" si="3"/>
        <v>0</v>
      </c>
      <c r="J267" s="120"/>
      <c r="K267" s="120"/>
      <c r="L267" s="120"/>
      <c r="M267" s="120"/>
    </row>
    <row r="268" spans="9:13" ht="12.75" hidden="1">
      <c r="I268" s="201">
        <f t="shared" si="3"/>
        <v>0</v>
      </c>
      <c r="J268" s="116"/>
      <c r="K268" s="116"/>
      <c r="L268" s="116"/>
      <c r="M268" s="116"/>
    </row>
    <row r="269" spans="3:9" ht="12.75" hidden="1">
      <c r="C269" t="s">
        <v>315</v>
      </c>
      <c r="I269" s="201">
        <f t="shared" si="3"/>
        <v>0</v>
      </c>
    </row>
    <row r="270" spans="3:9" ht="12.75" hidden="1">
      <c r="C270" t="s">
        <v>316</v>
      </c>
      <c r="I270" s="201">
        <f t="shared" si="3"/>
        <v>0</v>
      </c>
    </row>
    <row r="271" spans="3:9" ht="12.75" hidden="1">
      <c r="C271" t="s">
        <v>317</v>
      </c>
      <c r="I271" s="280">
        <f t="shared" si="3"/>
        <v>0</v>
      </c>
    </row>
    <row r="272" spans="2:13" ht="12.75">
      <c r="B272" s="1178"/>
      <c r="C272" s="38"/>
      <c r="D272" s="38"/>
      <c r="E272" s="38"/>
      <c r="F272" s="38"/>
      <c r="G272" s="38"/>
      <c r="H272" s="38"/>
      <c r="I272" s="278"/>
      <c r="J272" s="38"/>
      <c r="K272" s="38"/>
      <c r="L272" s="38"/>
      <c r="M272" s="38"/>
    </row>
  </sheetData>
  <sheetProtection/>
  <mergeCells count="24">
    <mergeCell ref="B11:I11"/>
    <mergeCell ref="B1:I1"/>
    <mergeCell ref="B2:I2"/>
    <mergeCell ref="B3:I3"/>
    <mergeCell ref="B4:I4"/>
    <mergeCell ref="B5:I5"/>
    <mergeCell ref="B6:I6"/>
    <mergeCell ref="B12:I12"/>
    <mergeCell ref="B14:I14"/>
    <mergeCell ref="B15:I15"/>
    <mergeCell ref="B16:I16"/>
    <mergeCell ref="B17:I17"/>
    <mergeCell ref="B7:I7"/>
    <mergeCell ref="B8:I8"/>
    <mergeCell ref="B9:I9"/>
    <mergeCell ref="B13:I13"/>
    <mergeCell ref="B10:I10"/>
    <mergeCell ref="B18:I18"/>
    <mergeCell ref="F252:L252"/>
    <mergeCell ref="B21:I21"/>
    <mergeCell ref="C22:I22"/>
    <mergeCell ref="F251:L251"/>
    <mergeCell ref="B20:I20"/>
    <mergeCell ref="B19:I19"/>
  </mergeCells>
  <printOptions/>
  <pageMargins left="0.53" right="0.24" top="0.71" bottom="0.61" header="0.17" footer="0.3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95"/>
  <sheetViews>
    <sheetView view="pageBreakPreview" zoomScaleSheetLayoutView="100" zoomScalePageLayoutView="0" workbookViewId="0" topLeftCell="C20">
      <selection activeCell="C7" sqref="C7"/>
    </sheetView>
  </sheetViews>
  <sheetFormatPr defaultColWidth="9.00390625" defaultRowHeight="12.75"/>
  <cols>
    <col min="1" max="1" width="7.75390625" style="0" hidden="1" customWidth="1"/>
    <col min="2" max="2" width="7.00390625" style="1177" hidden="1" customWidth="1"/>
    <col min="3" max="3" width="45.375" style="0" customWidth="1"/>
    <col min="4" max="4" width="5.375" style="0" customWidth="1"/>
    <col min="5" max="5" width="6.375" style="0" customWidth="1"/>
    <col min="6" max="6" width="8.125" style="0" customWidth="1"/>
    <col min="7" max="7" width="5.25390625" style="0" customWidth="1"/>
    <col min="8" max="8" width="8.625" style="0" hidden="1" customWidth="1"/>
    <col min="9" max="9" width="9.625" style="0" customWidth="1"/>
    <col min="10" max="10" width="9.75390625" style="0" customWidth="1"/>
    <col min="11" max="11" width="7.00390625" style="0" customWidth="1"/>
    <col min="12" max="12" width="7.125" style="0" hidden="1" customWidth="1"/>
    <col min="13" max="13" width="8.375" style="0" hidden="1" customWidth="1"/>
    <col min="14" max="14" width="9.25390625" style="0" hidden="1" customWidth="1"/>
    <col min="15" max="15" width="8.00390625" style="0" hidden="1" customWidth="1"/>
    <col min="16" max="16" width="0" style="0" hidden="1" customWidth="1"/>
  </cols>
  <sheetData>
    <row r="1" spans="1:15" ht="21.75" customHeight="1">
      <c r="A1" s="122"/>
      <c r="B1" s="3159"/>
      <c r="C1" s="3159"/>
      <c r="D1" s="2736"/>
      <c r="E1" s="2736"/>
      <c r="F1" s="2736"/>
      <c r="G1" s="3158" t="s">
        <v>164</v>
      </c>
      <c r="H1" s="3158"/>
      <c r="I1" s="3158"/>
      <c r="J1" s="3158"/>
      <c r="K1" s="3158"/>
      <c r="L1" s="2452"/>
      <c r="M1" s="122"/>
      <c r="N1" s="122"/>
      <c r="O1" s="122"/>
    </row>
    <row r="2" spans="1:15" ht="18.75" customHeight="1">
      <c r="A2" s="122"/>
      <c r="B2" s="831"/>
      <c r="C2" s="2488"/>
      <c r="D2" s="2488"/>
      <c r="E2" s="2488"/>
      <c r="F2" s="2488"/>
      <c r="G2" s="2737"/>
      <c r="H2" s="2737"/>
      <c r="I2" s="2737"/>
      <c r="J2" s="2737"/>
      <c r="K2" s="2737" t="s">
        <v>416</v>
      </c>
      <c r="L2" s="2488"/>
      <c r="M2" s="122"/>
      <c r="N2" s="122"/>
      <c r="O2" s="122"/>
    </row>
    <row r="3" spans="1:15" ht="14.25" customHeight="1">
      <c r="A3" s="122"/>
      <c r="B3" s="831"/>
      <c r="C3" s="2488"/>
      <c r="D3" s="2452"/>
      <c r="E3" s="2452"/>
      <c r="F3" s="2452"/>
      <c r="G3" s="2737"/>
      <c r="H3" s="2737"/>
      <c r="I3" s="2737"/>
      <c r="J3" s="2737"/>
      <c r="K3" s="2737" t="s">
        <v>1434</v>
      </c>
      <c r="L3" s="2488"/>
      <c r="M3" s="122"/>
      <c r="N3" s="122"/>
      <c r="O3" s="122"/>
    </row>
    <row r="4" spans="1:15" ht="37.5" customHeight="1">
      <c r="A4" s="122"/>
      <c r="B4" s="3122" t="s">
        <v>1423</v>
      </c>
      <c r="C4" s="3122"/>
      <c r="D4" s="3122"/>
      <c r="E4" s="3122"/>
      <c r="F4" s="3122"/>
      <c r="G4" s="3122"/>
      <c r="H4" s="3122"/>
      <c r="I4" s="3122"/>
      <c r="J4" s="3122"/>
      <c r="K4" s="3122"/>
      <c r="L4" s="122"/>
      <c r="M4" s="122"/>
      <c r="N4" s="122"/>
      <c r="O4" s="122"/>
    </row>
    <row r="5" spans="1:15" ht="15.75" customHeight="1">
      <c r="A5" s="122"/>
      <c r="B5" s="3121" t="s">
        <v>1413</v>
      </c>
      <c r="C5" s="3121"/>
      <c r="D5" s="3121"/>
      <c r="E5" s="3121"/>
      <c r="F5" s="3121"/>
      <c r="G5" s="3121"/>
      <c r="H5" s="3121"/>
      <c r="I5" s="3121"/>
      <c r="J5" s="3121"/>
      <c r="K5" s="3121"/>
      <c r="L5" s="122"/>
      <c r="M5" s="122"/>
      <c r="N5" s="122"/>
      <c r="O5" s="122"/>
    </row>
    <row r="6" spans="1:15" ht="12.75" customHeight="1" thickBot="1">
      <c r="A6" s="122"/>
      <c r="B6" s="122"/>
      <c r="C6" s="3120" t="s">
        <v>218</v>
      </c>
      <c r="D6" s="3120"/>
      <c r="E6" s="3120"/>
      <c r="F6" s="3120"/>
      <c r="G6" s="3120"/>
      <c r="H6" s="3120"/>
      <c r="I6" s="3120"/>
      <c r="J6" s="3120"/>
      <c r="K6" s="3120"/>
      <c r="L6" s="271"/>
      <c r="M6" s="271"/>
      <c r="N6" s="271"/>
      <c r="O6" s="271"/>
    </row>
    <row r="7" spans="1:15" ht="50.25" customHeight="1" thickBot="1">
      <c r="A7" s="57" t="s">
        <v>99</v>
      </c>
      <c r="B7" s="43" t="s">
        <v>794</v>
      </c>
      <c r="C7" s="2760" t="s">
        <v>219</v>
      </c>
      <c r="D7" s="1204" t="s">
        <v>444</v>
      </c>
      <c r="E7" s="169" t="s">
        <v>232</v>
      </c>
      <c r="F7" s="169" t="s">
        <v>230</v>
      </c>
      <c r="G7" s="1205" t="s">
        <v>101</v>
      </c>
      <c r="H7" s="1202" t="s">
        <v>231</v>
      </c>
      <c r="I7" s="1202" t="s">
        <v>1422</v>
      </c>
      <c r="J7" s="2750" t="s">
        <v>1414</v>
      </c>
      <c r="K7" s="2740" t="s">
        <v>1415</v>
      </c>
      <c r="L7" s="203" t="s">
        <v>771</v>
      </c>
      <c r="M7" s="204" t="s">
        <v>772</v>
      </c>
      <c r="N7" s="204" t="s">
        <v>760</v>
      </c>
      <c r="O7" s="237" t="s">
        <v>761</v>
      </c>
    </row>
    <row r="8" spans="1:15" ht="12.75">
      <c r="A8" s="89">
        <v>1</v>
      </c>
      <c r="B8" s="251" t="s">
        <v>678</v>
      </c>
      <c r="C8" s="1300">
        <v>2</v>
      </c>
      <c r="D8" s="1206" t="s">
        <v>472</v>
      </c>
      <c r="E8" s="168" t="s">
        <v>614</v>
      </c>
      <c r="F8" s="168" t="s">
        <v>295</v>
      </c>
      <c r="G8" s="1207" t="s">
        <v>296</v>
      </c>
      <c r="H8" s="1046" t="s">
        <v>296</v>
      </c>
      <c r="I8" s="1046" t="s">
        <v>297</v>
      </c>
      <c r="J8" s="251" t="s">
        <v>740</v>
      </c>
      <c r="K8" s="2741">
        <v>9</v>
      </c>
      <c r="L8" s="274">
        <v>8</v>
      </c>
      <c r="M8" s="275">
        <v>9</v>
      </c>
      <c r="N8" s="275">
        <v>10</v>
      </c>
      <c r="O8" s="276">
        <v>11</v>
      </c>
    </row>
    <row r="9" spans="1:15" ht="16.5" customHeight="1" hidden="1" thickBot="1">
      <c r="A9" s="132" t="s">
        <v>607</v>
      </c>
      <c r="B9" s="252"/>
      <c r="C9" s="2761" t="s">
        <v>102</v>
      </c>
      <c r="D9" s="694"/>
      <c r="E9" s="162" t="s">
        <v>449</v>
      </c>
      <c r="F9" s="163"/>
      <c r="G9" s="695"/>
      <c r="H9" s="1047"/>
      <c r="I9" s="1047"/>
      <c r="J9" s="2751"/>
      <c r="K9" s="2742"/>
      <c r="L9" s="214"/>
      <c r="M9" s="164"/>
      <c r="N9" s="164"/>
      <c r="O9" s="238"/>
    </row>
    <row r="10" spans="1:15" ht="40.5" customHeight="1" hidden="1" thickBot="1">
      <c r="A10" s="133" t="s">
        <v>103</v>
      </c>
      <c r="B10" s="589"/>
      <c r="C10" s="2762" t="s">
        <v>720</v>
      </c>
      <c r="D10" s="1208"/>
      <c r="E10" s="590" t="s">
        <v>277</v>
      </c>
      <c r="F10" s="590"/>
      <c r="G10" s="1209"/>
      <c r="H10" s="1203"/>
      <c r="I10" s="1203"/>
      <c r="J10" s="2752"/>
      <c r="K10" s="2743"/>
      <c r="L10" s="215"/>
      <c r="M10" s="205"/>
      <c r="N10" s="205"/>
      <c r="O10" s="239"/>
    </row>
    <row r="11" spans="1:15" ht="30.75" customHeight="1" hidden="1" thickBot="1">
      <c r="A11" s="133"/>
      <c r="B11" s="1574" t="s">
        <v>678</v>
      </c>
      <c r="C11" s="2763" t="s">
        <v>1107</v>
      </c>
      <c r="D11" s="1575">
        <v>917</v>
      </c>
      <c r="E11" s="1576"/>
      <c r="F11" s="1576"/>
      <c r="G11" s="1577"/>
      <c r="H11" s="1578"/>
      <c r="I11" s="1578"/>
      <c r="J11" s="2753"/>
      <c r="K11" s="2744" t="e">
        <f>K12+K40</f>
        <v>#REF!</v>
      </c>
      <c r="L11" s="215"/>
      <c r="M11" s="205"/>
      <c r="N11" s="205"/>
      <c r="O11" s="239"/>
    </row>
    <row r="12" spans="1:15" ht="18.75" customHeight="1" hidden="1" thickBot="1">
      <c r="A12" s="133"/>
      <c r="B12" s="1181" t="s">
        <v>607</v>
      </c>
      <c r="C12" s="2764" t="s">
        <v>102</v>
      </c>
      <c r="D12" s="1182">
        <v>917</v>
      </c>
      <c r="E12" s="1183" t="s">
        <v>457</v>
      </c>
      <c r="F12" s="1183"/>
      <c r="G12" s="1184"/>
      <c r="H12" s="1185"/>
      <c r="I12" s="1185"/>
      <c r="J12" s="2754"/>
      <c r="K12" s="2745" t="e">
        <f>#REF!+K13</f>
        <v>#REF!</v>
      </c>
      <c r="L12" s="215"/>
      <c r="M12" s="205"/>
      <c r="N12" s="205"/>
      <c r="O12" s="239"/>
    </row>
    <row r="13" spans="1:15" ht="27.75" customHeight="1" hidden="1">
      <c r="A13" s="133"/>
      <c r="B13" s="1179" t="s">
        <v>678</v>
      </c>
      <c r="C13" s="2765" t="str">
        <f>'Бюд.р.'!A9</f>
        <v>Обеспечение проведения выборов и референдумов</v>
      </c>
      <c r="D13" s="1129">
        <v>917</v>
      </c>
      <c r="E13" s="1138" t="s">
        <v>1120</v>
      </c>
      <c r="F13" s="1138"/>
      <c r="G13" s="1144"/>
      <c r="H13" s="1143"/>
      <c r="I13" s="1143"/>
      <c r="J13" s="2755"/>
      <c r="K13" s="2746">
        <f>K14</f>
        <v>0</v>
      </c>
      <c r="L13" s="215"/>
      <c r="M13" s="205"/>
      <c r="N13" s="205"/>
      <c r="O13" s="239"/>
    </row>
    <row r="14" spans="1:15" ht="14.25" customHeight="1" hidden="1">
      <c r="A14" s="133"/>
      <c r="B14" s="1161" t="s">
        <v>245</v>
      </c>
      <c r="C14" s="1304" t="s">
        <v>1118</v>
      </c>
      <c r="D14" s="1105">
        <v>917</v>
      </c>
      <c r="E14" s="1106" t="s">
        <v>1120</v>
      </c>
      <c r="F14" s="1106" t="str">
        <f>'Бюд.р.'!D10</f>
        <v>020 01 00</v>
      </c>
      <c r="G14" s="1107"/>
      <c r="H14" s="1108"/>
      <c r="I14" s="1108"/>
      <c r="J14" s="2756"/>
      <c r="K14" s="2747">
        <f>K15+K18</f>
        <v>0</v>
      </c>
      <c r="L14" s="215"/>
      <c r="M14" s="205"/>
      <c r="N14" s="205"/>
      <c r="O14" s="239"/>
    </row>
    <row r="15" spans="1:15" ht="25.5" customHeight="1" hidden="1">
      <c r="A15" s="133"/>
      <c r="B15" s="1161" t="s">
        <v>245</v>
      </c>
      <c r="C15" s="1304" t="str">
        <f>'Бюд.р.'!A11</f>
        <v>Проведение выборов в представительные органы муниципального образования</v>
      </c>
      <c r="D15" s="1105">
        <v>917</v>
      </c>
      <c r="E15" s="1106" t="s">
        <v>1120</v>
      </c>
      <c r="F15" s="1106" t="str">
        <f>'Бюд.р.'!D11</f>
        <v>020 01 01</v>
      </c>
      <c r="G15" s="1107"/>
      <c r="H15" s="1108"/>
      <c r="I15" s="1108"/>
      <c r="J15" s="2756"/>
      <c r="K15" s="2747">
        <f>SUM(K16:K17)</f>
        <v>0</v>
      </c>
      <c r="L15" s="215"/>
      <c r="M15" s="205"/>
      <c r="N15" s="205"/>
      <c r="O15" s="239"/>
    </row>
    <row r="16" spans="1:15" ht="45" customHeight="1" hidden="1">
      <c r="A16" s="133"/>
      <c r="B16" s="1162" t="s">
        <v>182</v>
      </c>
      <c r="C16" s="1305" t="str">
        <f>'Бюд.р.'!A12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16" s="1109">
        <v>917</v>
      </c>
      <c r="E16" s="1110" t="s">
        <v>1120</v>
      </c>
      <c r="F16" s="1110" t="str">
        <f>'Бюд.р.'!D13</f>
        <v>020 01 01</v>
      </c>
      <c r="G16" s="1111">
        <f>'Бюд.р.'!F12</f>
        <v>100</v>
      </c>
      <c r="H16" s="1112"/>
      <c r="I16" s="1112"/>
      <c r="J16" s="2757"/>
      <c r="K16" s="2748">
        <f>'Бюд.р.'!H12</f>
        <v>0</v>
      </c>
      <c r="L16" s="215"/>
      <c r="M16" s="205"/>
      <c r="N16" s="205"/>
      <c r="O16" s="239"/>
    </row>
    <row r="17" spans="1:15" ht="24" customHeight="1" hidden="1">
      <c r="A17" s="133"/>
      <c r="B17" s="1162" t="s">
        <v>374</v>
      </c>
      <c r="C17" s="2766" t="str">
        <f>'Бюд.р.'!A15</f>
        <v>Закупка товаров, работ и услуг  для государственных (муниципальных) нужд</v>
      </c>
      <c r="D17" s="1110">
        <v>917</v>
      </c>
      <c r="E17" s="1110" t="s">
        <v>1120</v>
      </c>
      <c r="F17" s="1110" t="str">
        <f>'Бюд.р.'!D16</f>
        <v>020 01 01 </v>
      </c>
      <c r="G17" s="1110">
        <f>'Бюд.р.'!F15</f>
        <v>200</v>
      </c>
      <c r="H17" s="1110"/>
      <c r="I17" s="1413"/>
      <c r="J17" s="2757"/>
      <c r="K17" s="2748">
        <f>'Бюд.р.'!H15</f>
        <v>0</v>
      </c>
      <c r="L17" s="215"/>
      <c r="M17" s="205"/>
      <c r="N17" s="205"/>
      <c r="O17" s="239"/>
    </row>
    <row r="18" spans="1:15" ht="24.75" customHeight="1" hidden="1">
      <c r="A18" s="133"/>
      <c r="B18" s="2292" t="s">
        <v>233</v>
      </c>
      <c r="C18" s="2767" t="str">
        <f>'Бюд.р.'!A26</f>
        <v>Повышение правовой культуры избирателей и обучение организаторов выборов</v>
      </c>
      <c r="D18" s="1105">
        <v>917</v>
      </c>
      <c r="E18" s="1106" t="s">
        <v>1120</v>
      </c>
      <c r="F18" s="1554" t="str">
        <f>'Бюд.р.'!D26</f>
        <v>020 01 03</v>
      </c>
      <c r="G18" s="1554"/>
      <c r="H18" s="1554"/>
      <c r="I18" s="1982"/>
      <c r="J18" s="2758"/>
      <c r="K18" s="2749">
        <f>K19</f>
        <v>0</v>
      </c>
      <c r="L18" s="215"/>
      <c r="M18" s="205"/>
      <c r="N18" s="205"/>
      <c r="O18" s="239"/>
    </row>
    <row r="19" spans="1:15" ht="22.5" customHeight="1" hidden="1">
      <c r="A19" s="133"/>
      <c r="B19" s="1162" t="s">
        <v>679</v>
      </c>
      <c r="C19" s="2766" t="str">
        <f>'Бюд.р.'!A27</f>
        <v>Закупка товаров, работ и услуг  для государственных (муниципальных) нужд</v>
      </c>
      <c r="D19" s="1110">
        <v>917</v>
      </c>
      <c r="E19" s="1110" t="s">
        <v>1120</v>
      </c>
      <c r="F19" s="1110" t="str">
        <f>'Бюд.р.'!D28</f>
        <v>020 01 03</v>
      </c>
      <c r="G19" s="1110">
        <f>'Бюд.р.'!F27</f>
        <v>200</v>
      </c>
      <c r="H19" s="1110"/>
      <c r="I19" s="1413"/>
      <c r="J19" s="2757"/>
      <c r="K19" s="2748">
        <f>'Бюд.р.'!H27</f>
        <v>0</v>
      </c>
      <c r="L19" s="215"/>
      <c r="M19" s="205"/>
      <c r="N19" s="205"/>
      <c r="O19" s="239"/>
    </row>
    <row r="20" spans="1:15" ht="27" customHeight="1" thickBot="1">
      <c r="A20" s="133"/>
      <c r="B20" s="1579"/>
      <c r="C20" s="2768" t="s">
        <v>82</v>
      </c>
      <c r="D20" s="2769" t="s">
        <v>83</v>
      </c>
      <c r="E20" s="2770"/>
      <c r="F20" s="2770"/>
      <c r="G20" s="2771"/>
      <c r="H20" s="2772"/>
      <c r="I20" s="2772">
        <f>I21</f>
        <v>4108.2</v>
      </c>
      <c r="J20" s="2773">
        <f>J21</f>
        <v>4107.799999999999</v>
      </c>
      <c r="K20" s="2774">
        <f>J20/I20%</f>
        <v>99.99026337568763</v>
      </c>
      <c r="L20" s="216" t="e">
        <f>L21+#REF!+#REF!+#REF!+#REF!+#REF!+#REF!+#REF!</f>
        <v>#REF!</v>
      </c>
      <c r="M20" s="208" t="e">
        <f>M21+#REF!+#REF!+#REF!+#REF!+#REF!+#REF!+#REF!</f>
        <v>#REF!</v>
      </c>
      <c r="N20" s="208" t="e">
        <f>N21+#REF!+#REF!+#REF!+#REF!+#REF!+#REF!+#REF!</f>
        <v>#REF!</v>
      </c>
      <c r="O20" s="240" t="e">
        <f>O21+#REF!+#REF!+#REF!+#REF!+#REF!+#REF!+#REF!</f>
        <v>#REF!</v>
      </c>
    </row>
    <row r="21" spans="1:15" ht="14.25" customHeight="1" thickBot="1">
      <c r="A21" s="133"/>
      <c r="B21" s="2411" t="s">
        <v>678</v>
      </c>
      <c r="C21" s="2782" t="s">
        <v>102</v>
      </c>
      <c r="D21" s="2783" t="s">
        <v>83</v>
      </c>
      <c r="E21" s="2784" t="s">
        <v>457</v>
      </c>
      <c r="F21" s="2784"/>
      <c r="G21" s="2785"/>
      <c r="H21" s="2786"/>
      <c r="I21" s="2786">
        <f>I22+I25</f>
        <v>4108.2</v>
      </c>
      <c r="J21" s="2787">
        <f>J22+J25</f>
        <v>4107.799999999999</v>
      </c>
      <c r="K21" s="2788">
        <f aca="true" t="shared" si="0" ref="K21:K28">J21/I21%</f>
        <v>99.99026337568763</v>
      </c>
      <c r="L21" s="224" t="e">
        <f>L22+L25+#REF!+#REF!</f>
        <v>#REF!</v>
      </c>
      <c r="M21" s="209" t="e">
        <f>M22+M25+#REF!+#REF!</f>
        <v>#REF!</v>
      </c>
      <c r="N21" s="209" t="e">
        <f>N22+N25+#REF!+#REF!</f>
        <v>#REF!</v>
      </c>
      <c r="O21" s="247" t="e">
        <f>O22+O25+#REF!+#REF!</f>
        <v>#REF!</v>
      </c>
    </row>
    <row r="22" spans="1:15" ht="39" customHeight="1">
      <c r="A22" s="133"/>
      <c r="B22" s="2412" t="s">
        <v>548</v>
      </c>
      <c r="C22" s="3026" t="s">
        <v>132</v>
      </c>
      <c r="D22" s="2893" t="s">
        <v>83</v>
      </c>
      <c r="E22" s="2895" t="s">
        <v>456</v>
      </c>
      <c r="F22" s="2895"/>
      <c r="G22" s="2896"/>
      <c r="H22" s="2897"/>
      <c r="I22" s="2897">
        <f>I23</f>
        <v>1148.5</v>
      </c>
      <c r="J22" s="2911">
        <f>J23</f>
        <v>1148.5</v>
      </c>
      <c r="K22" s="2900">
        <f t="shared" si="0"/>
        <v>100</v>
      </c>
      <c r="L22" s="217">
        <f aca="true" t="shared" si="1" ref="L22:O23">L23</f>
        <v>164.7</v>
      </c>
      <c r="M22" s="93">
        <f t="shared" si="1"/>
        <v>164.8</v>
      </c>
      <c r="N22" s="93">
        <f t="shared" si="1"/>
        <v>164.7</v>
      </c>
      <c r="O22" s="241">
        <f t="shared" si="1"/>
        <v>164.7</v>
      </c>
    </row>
    <row r="23" spans="1:15" ht="14.25" customHeight="1">
      <c r="A23" s="134" t="s">
        <v>245</v>
      </c>
      <c r="B23" s="1163" t="s">
        <v>182</v>
      </c>
      <c r="C23" s="2790" t="str">
        <f>'Бюд.р.'!A60</f>
        <v>ГЛАВА МУНИЦИПАЛЬНОГО ОБРАЗОВАНИЯ</v>
      </c>
      <c r="D23" s="2791" t="s">
        <v>83</v>
      </c>
      <c r="E23" s="1582" t="s">
        <v>456</v>
      </c>
      <c r="F23" s="1582" t="s">
        <v>460</v>
      </c>
      <c r="G23" s="2792"/>
      <c r="H23" s="2793"/>
      <c r="I23" s="2793">
        <f>I24</f>
        <v>1148.5</v>
      </c>
      <c r="J23" s="2794">
        <f>J24</f>
        <v>1148.5</v>
      </c>
      <c r="K23" s="2795">
        <f t="shared" si="0"/>
        <v>100</v>
      </c>
      <c r="L23" s="218">
        <f t="shared" si="1"/>
        <v>164.7</v>
      </c>
      <c r="M23" s="127">
        <f t="shared" si="1"/>
        <v>164.8</v>
      </c>
      <c r="N23" s="127">
        <f t="shared" si="1"/>
        <v>164.7</v>
      </c>
      <c r="O23" s="242">
        <f t="shared" si="1"/>
        <v>164.7</v>
      </c>
    </row>
    <row r="24" spans="1:15" ht="45.75" customHeight="1">
      <c r="A24" s="135" t="s">
        <v>182</v>
      </c>
      <c r="B24" s="1162" t="s">
        <v>185</v>
      </c>
      <c r="C24" s="2796" t="str">
        <f>'Бюд.р.'!A61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24" s="2797" t="s">
        <v>83</v>
      </c>
      <c r="E24" s="1768" t="s">
        <v>456</v>
      </c>
      <c r="F24" s="1768" t="s">
        <v>460</v>
      </c>
      <c r="G24" s="2798">
        <f>'Бюд.р.'!F61</f>
        <v>100</v>
      </c>
      <c r="H24" s="2799"/>
      <c r="I24" s="2799">
        <v>1148.5</v>
      </c>
      <c r="J24" s="2800">
        <v>1148.5</v>
      </c>
      <c r="K24" s="2801">
        <f t="shared" si="0"/>
        <v>100</v>
      </c>
      <c r="L24" s="219">
        <v>164.7</v>
      </c>
      <c r="M24" s="130">
        <v>164.8</v>
      </c>
      <c r="N24" s="130">
        <v>164.7</v>
      </c>
      <c r="O24" s="243">
        <v>164.7</v>
      </c>
    </row>
    <row r="25" spans="1:15" ht="47.25" customHeight="1">
      <c r="A25" s="133"/>
      <c r="B25" s="2412" t="s">
        <v>1260</v>
      </c>
      <c r="C25" s="2790" t="s">
        <v>853</v>
      </c>
      <c r="D25" s="2791" t="s">
        <v>83</v>
      </c>
      <c r="E25" s="1582" t="s">
        <v>474</v>
      </c>
      <c r="F25" s="1582"/>
      <c r="G25" s="2792"/>
      <c r="H25" s="2793"/>
      <c r="I25" s="2793">
        <f>I26+I41</f>
        <v>2959.7</v>
      </c>
      <c r="J25" s="2794">
        <f>J26+J41</f>
        <v>2959.2999999999997</v>
      </c>
      <c r="K25" s="2795">
        <f t="shared" si="0"/>
        <v>99.9864851167348</v>
      </c>
      <c r="L25" s="217" t="e">
        <f>#REF!+L26</f>
        <v>#REF!</v>
      </c>
      <c r="M25" s="93" t="e">
        <f>#REF!+M26</f>
        <v>#REF!</v>
      </c>
      <c r="N25" s="93" t="e">
        <f>#REF!+N26</f>
        <v>#REF!</v>
      </c>
      <c r="O25" s="241" t="e">
        <f>#REF!+O26</f>
        <v>#REF!</v>
      </c>
    </row>
    <row r="26" spans="1:15" ht="28.5" customHeight="1">
      <c r="A26" s="134"/>
      <c r="B26" s="1163" t="s">
        <v>679</v>
      </c>
      <c r="C26" s="2808" t="s">
        <v>478</v>
      </c>
      <c r="D26" s="2791">
        <v>925</v>
      </c>
      <c r="E26" s="1582" t="s">
        <v>474</v>
      </c>
      <c r="F26" s="1582" t="s">
        <v>45</v>
      </c>
      <c r="G26" s="2792"/>
      <c r="H26" s="2793"/>
      <c r="I26" s="2793">
        <f>I27+I29</f>
        <v>1353.1999999999998</v>
      </c>
      <c r="J26" s="2794">
        <f>J27+J29</f>
        <v>1353.1999999999998</v>
      </c>
      <c r="K26" s="2795">
        <f t="shared" si="0"/>
        <v>100</v>
      </c>
      <c r="L26" s="218">
        <f>L27+L29</f>
        <v>175.2</v>
      </c>
      <c r="M26" s="127">
        <f>M27+M29</f>
        <v>175</v>
      </c>
      <c r="N26" s="127">
        <f>N27+N29</f>
        <v>175.10000000000002</v>
      </c>
      <c r="O26" s="242">
        <f>O27+O29</f>
        <v>175</v>
      </c>
    </row>
    <row r="27" spans="1:15" ht="25.5" customHeight="1">
      <c r="A27" s="134"/>
      <c r="B27" s="1163" t="s">
        <v>1184</v>
      </c>
      <c r="C27" s="2808" t="str">
        <f>'Бюд.р.'!A68</f>
        <v>ДЕПУТАТЫ, ОСУЩЕСТВЛЯЮЩИЕ СВОЮ ДЕЯТЕЛЬНОСТЬ НА ПОСТОЯННОЙ ОСНОВЕ</v>
      </c>
      <c r="D27" s="2791">
        <v>925</v>
      </c>
      <c r="E27" s="1582" t="s">
        <v>474</v>
      </c>
      <c r="F27" s="1582" t="s">
        <v>47</v>
      </c>
      <c r="G27" s="2798"/>
      <c r="H27" s="2793"/>
      <c r="I27" s="2793">
        <f>I28</f>
        <v>1088.6</v>
      </c>
      <c r="J27" s="2794">
        <f>J28</f>
        <v>1088.6</v>
      </c>
      <c r="K27" s="2795">
        <f t="shared" si="0"/>
        <v>100</v>
      </c>
      <c r="L27" s="218">
        <f>L28</f>
        <v>138.4</v>
      </c>
      <c r="M27" s="127">
        <f>M28</f>
        <v>138.3</v>
      </c>
      <c r="N27" s="127">
        <f>N28</f>
        <v>138.4</v>
      </c>
      <c r="O27" s="242">
        <f>O28</f>
        <v>138.3</v>
      </c>
    </row>
    <row r="28" spans="1:15" ht="46.5" customHeight="1">
      <c r="A28" s="134"/>
      <c r="B28" s="1162" t="s">
        <v>185</v>
      </c>
      <c r="C28" s="2796" t="str">
        <f>'Бюд.р.'!A69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28" s="2809">
        <v>925</v>
      </c>
      <c r="E28" s="1514" t="s">
        <v>474</v>
      </c>
      <c r="F28" s="1585" t="s">
        <v>47</v>
      </c>
      <c r="G28" s="2810">
        <f>'Бюд.р.'!F69</f>
        <v>100</v>
      </c>
      <c r="H28" s="2811"/>
      <c r="I28" s="2812">
        <v>1088.6</v>
      </c>
      <c r="J28" s="2813">
        <v>1088.6</v>
      </c>
      <c r="K28" s="2814">
        <f t="shared" si="0"/>
        <v>100</v>
      </c>
      <c r="L28" s="219">
        <v>138.4</v>
      </c>
      <c r="M28" s="130">
        <v>138.3</v>
      </c>
      <c r="N28" s="130">
        <v>138.4</v>
      </c>
      <c r="O28" s="243">
        <v>138.3</v>
      </c>
    </row>
    <row r="29" spans="1:15" ht="25.5" customHeight="1">
      <c r="A29" s="135" t="s">
        <v>88</v>
      </c>
      <c r="B29" s="1163" t="s">
        <v>1185</v>
      </c>
      <c r="C29" s="2808" t="str">
        <f>'Бюд.р.'!A77</f>
        <v>КОМПЕСАЦИЯ  ДЕПУТАТАМ, ОСУЩЕСТВЛЯЮЩИМ СВОИ ПОЛНОМОЧИЯ НА НЕПОСТОЯННОЙ ОСНОВЕ</v>
      </c>
      <c r="D29" s="2791">
        <v>925</v>
      </c>
      <c r="E29" s="1582" t="s">
        <v>474</v>
      </c>
      <c r="F29" s="1582" t="s">
        <v>49</v>
      </c>
      <c r="G29" s="2792"/>
      <c r="H29" s="2793"/>
      <c r="I29" s="2793">
        <f aca="true" t="shared" si="2" ref="I29:O29">I35</f>
        <v>264.6</v>
      </c>
      <c r="J29" s="2794">
        <f t="shared" si="2"/>
        <v>264.6</v>
      </c>
      <c r="K29" s="2795">
        <f t="shared" si="2"/>
        <v>100</v>
      </c>
      <c r="L29" s="218">
        <f t="shared" si="2"/>
        <v>36.8</v>
      </c>
      <c r="M29" s="127">
        <f t="shared" si="2"/>
        <v>36.7</v>
      </c>
      <c r="N29" s="127">
        <f t="shared" si="2"/>
        <v>36.7</v>
      </c>
      <c r="O29" s="242">
        <f t="shared" si="2"/>
        <v>36.7</v>
      </c>
    </row>
    <row r="30" spans="1:15" ht="25.5" hidden="1">
      <c r="A30" s="136" t="s">
        <v>188</v>
      </c>
      <c r="B30" s="1165"/>
      <c r="C30" s="2815" t="s">
        <v>415</v>
      </c>
      <c r="D30" s="2816">
        <v>968</v>
      </c>
      <c r="E30" s="1513" t="s">
        <v>474</v>
      </c>
      <c r="F30" s="2817" t="s">
        <v>49</v>
      </c>
      <c r="G30" s="2818">
        <v>500</v>
      </c>
      <c r="H30" s="2819" t="s">
        <v>241</v>
      </c>
      <c r="I30" s="2819"/>
      <c r="J30" s="2820"/>
      <c r="K30" s="2821"/>
      <c r="L30" s="219"/>
      <c r="M30" s="130"/>
      <c r="N30" s="130"/>
      <c r="O30" s="243"/>
    </row>
    <row r="31" spans="1:15" ht="21" hidden="1">
      <c r="A31" s="137" t="s">
        <v>190</v>
      </c>
      <c r="B31" s="1162"/>
      <c r="C31" s="2822" t="s">
        <v>256</v>
      </c>
      <c r="D31" s="2823"/>
      <c r="E31" s="1513" t="s">
        <v>474</v>
      </c>
      <c r="F31" s="2824" t="s">
        <v>104</v>
      </c>
      <c r="G31" s="2825" t="s">
        <v>238</v>
      </c>
      <c r="H31" s="2819" t="s">
        <v>244</v>
      </c>
      <c r="I31" s="2819"/>
      <c r="J31" s="2820"/>
      <c r="K31" s="2821"/>
      <c r="L31" s="219"/>
      <c r="M31" s="130"/>
      <c r="N31" s="130"/>
      <c r="O31" s="243"/>
    </row>
    <row r="32" spans="1:15" ht="22.5" hidden="1">
      <c r="A32" s="137" t="s">
        <v>185</v>
      </c>
      <c r="B32" s="1162"/>
      <c r="C32" s="2826" t="s">
        <v>105</v>
      </c>
      <c r="D32" s="2827"/>
      <c r="E32" s="1513" t="s">
        <v>474</v>
      </c>
      <c r="F32" s="1770" t="s">
        <v>104</v>
      </c>
      <c r="G32" s="2828" t="s">
        <v>238</v>
      </c>
      <c r="H32" s="2829" t="s">
        <v>251</v>
      </c>
      <c r="I32" s="2829"/>
      <c r="J32" s="2830"/>
      <c r="K32" s="2821"/>
      <c r="L32" s="219"/>
      <c r="M32" s="130"/>
      <c r="N32" s="130"/>
      <c r="O32" s="243"/>
    </row>
    <row r="33" spans="1:15" ht="12.75" hidden="1">
      <c r="A33" s="137" t="s">
        <v>186</v>
      </c>
      <c r="B33" s="1162"/>
      <c r="C33" s="2826" t="s">
        <v>108</v>
      </c>
      <c r="D33" s="2827"/>
      <c r="E33" s="1513" t="s">
        <v>474</v>
      </c>
      <c r="F33" s="1770" t="s">
        <v>234</v>
      </c>
      <c r="G33" s="2828" t="s">
        <v>238</v>
      </c>
      <c r="H33" s="2829" t="s">
        <v>450</v>
      </c>
      <c r="I33" s="2829"/>
      <c r="J33" s="2830"/>
      <c r="K33" s="2821"/>
      <c r="L33" s="219"/>
      <c r="M33" s="130"/>
      <c r="N33" s="130"/>
      <c r="O33" s="243"/>
    </row>
    <row r="34" spans="1:15" ht="22.5" hidden="1">
      <c r="A34" s="137" t="s">
        <v>191</v>
      </c>
      <c r="B34" s="1162"/>
      <c r="C34" s="2826" t="s">
        <v>106</v>
      </c>
      <c r="D34" s="2827"/>
      <c r="E34" s="1513" t="s">
        <v>474</v>
      </c>
      <c r="F34" s="1770" t="s">
        <v>104</v>
      </c>
      <c r="G34" s="2828" t="s">
        <v>238</v>
      </c>
      <c r="H34" s="2829" t="s">
        <v>252</v>
      </c>
      <c r="I34" s="2829"/>
      <c r="J34" s="2830"/>
      <c r="K34" s="2821"/>
      <c r="L34" s="219"/>
      <c r="M34" s="130"/>
      <c r="N34" s="130"/>
      <c r="O34" s="243"/>
    </row>
    <row r="35" spans="1:15" ht="48.75" customHeight="1">
      <c r="A35" s="135" t="s">
        <v>281</v>
      </c>
      <c r="B35" s="1162" t="s">
        <v>185</v>
      </c>
      <c r="C35" s="2831" t="str">
        <f>'Бюд.р.'!A78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35" s="2809">
        <v>925</v>
      </c>
      <c r="E35" s="1515" t="s">
        <v>474</v>
      </c>
      <c r="F35" s="1585" t="s">
        <v>49</v>
      </c>
      <c r="G35" s="2810">
        <f>'Бюд.р.'!F78</f>
        <v>100</v>
      </c>
      <c r="H35" s="2832"/>
      <c r="I35" s="2832">
        <v>264.6</v>
      </c>
      <c r="J35" s="2833">
        <v>264.6</v>
      </c>
      <c r="K35" s="2814">
        <f>J35/I35%</f>
        <v>100</v>
      </c>
      <c r="L35" s="219">
        <v>36.8</v>
      </c>
      <c r="M35" s="130">
        <v>36.7</v>
      </c>
      <c r="N35" s="130">
        <v>36.7</v>
      </c>
      <c r="O35" s="243">
        <v>36.7</v>
      </c>
    </row>
    <row r="36" spans="1:15" ht="24" hidden="1">
      <c r="A36" s="138" t="s">
        <v>189</v>
      </c>
      <c r="B36" s="1163"/>
      <c r="C36" s="2834" t="s">
        <v>240</v>
      </c>
      <c r="D36" s="2835"/>
      <c r="E36" s="1513" t="s">
        <v>474</v>
      </c>
      <c r="F36" s="2836" t="s">
        <v>104</v>
      </c>
      <c r="G36" s="2837" t="s">
        <v>675</v>
      </c>
      <c r="H36" s="2838" t="s">
        <v>241</v>
      </c>
      <c r="I36" s="2838"/>
      <c r="J36" s="2839"/>
      <c r="K36" s="2821"/>
      <c r="L36" s="220"/>
      <c r="M36" s="176"/>
      <c r="N36" s="176"/>
      <c r="O36" s="210"/>
    </row>
    <row r="37" spans="1:15" ht="21" hidden="1">
      <c r="A37" s="139" t="s">
        <v>190</v>
      </c>
      <c r="B37" s="1162"/>
      <c r="C37" s="2840" t="s">
        <v>256</v>
      </c>
      <c r="D37" s="2841"/>
      <c r="E37" s="1513" t="s">
        <v>474</v>
      </c>
      <c r="F37" s="2842" t="s">
        <v>104</v>
      </c>
      <c r="G37" s="2843" t="s">
        <v>675</v>
      </c>
      <c r="H37" s="2844" t="s">
        <v>244</v>
      </c>
      <c r="I37" s="2844"/>
      <c r="J37" s="2845"/>
      <c r="K37" s="2821"/>
      <c r="L37" s="220"/>
      <c r="M37" s="176"/>
      <c r="N37" s="176"/>
      <c r="O37" s="210"/>
    </row>
    <row r="38" spans="1:15" ht="22.5" hidden="1">
      <c r="A38" s="140" t="s">
        <v>185</v>
      </c>
      <c r="B38" s="1166"/>
      <c r="C38" s="2826" t="s">
        <v>105</v>
      </c>
      <c r="D38" s="2827"/>
      <c r="E38" s="1513" t="s">
        <v>474</v>
      </c>
      <c r="F38" s="1770" t="s">
        <v>104</v>
      </c>
      <c r="G38" s="2828" t="s">
        <v>675</v>
      </c>
      <c r="H38" s="2829" t="s">
        <v>251</v>
      </c>
      <c r="I38" s="2829"/>
      <c r="J38" s="2830"/>
      <c r="K38" s="2821"/>
      <c r="L38" s="220"/>
      <c r="M38" s="176"/>
      <c r="N38" s="176"/>
      <c r="O38" s="210"/>
    </row>
    <row r="39" spans="1:15" ht="22.5" hidden="1">
      <c r="A39" s="140" t="s">
        <v>191</v>
      </c>
      <c r="B39" s="1166"/>
      <c r="C39" s="2826" t="s">
        <v>109</v>
      </c>
      <c r="D39" s="2827"/>
      <c r="E39" s="1513" t="s">
        <v>474</v>
      </c>
      <c r="F39" s="1770" t="s">
        <v>104</v>
      </c>
      <c r="G39" s="2828" t="s">
        <v>675</v>
      </c>
      <c r="H39" s="2829" t="s">
        <v>252</v>
      </c>
      <c r="I39" s="2829"/>
      <c r="J39" s="2830"/>
      <c r="K39" s="2821"/>
      <c r="L39" s="220"/>
      <c r="M39" s="176"/>
      <c r="N39" s="176"/>
      <c r="O39" s="210"/>
    </row>
    <row r="40" spans="1:15" ht="51.75" customHeight="1" hidden="1" thickBot="1">
      <c r="A40" s="141" t="s">
        <v>228</v>
      </c>
      <c r="B40" s="1164"/>
      <c r="C40" s="2802" t="s">
        <v>481</v>
      </c>
      <c r="D40" s="2803"/>
      <c r="E40" s="1513" t="s">
        <v>474</v>
      </c>
      <c r="F40" s="2846"/>
      <c r="G40" s="2847"/>
      <c r="H40" s="2848"/>
      <c r="I40" s="2848"/>
      <c r="J40" s="2849"/>
      <c r="K40" s="2821"/>
      <c r="L40" s="220"/>
      <c r="M40" s="176"/>
      <c r="N40" s="176"/>
      <c r="O40" s="210"/>
    </row>
    <row r="41" spans="1:15" ht="24.75" customHeight="1">
      <c r="A41" s="141"/>
      <c r="B41" s="1163" t="s">
        <v>1300</v>
      </c>
      <c r="C41" s="2808" t="str">
        <f>'Бюд.р.'!A82</f>
        <v>АППАРАТ ПРЕДСТАВИТЕЛЬНОГО ОРГАНА МУНИЦИПАЛЬНОГО ОБРАЗОВАНИЯ</v>
      </c>
      <c r="D41" s="2791">
        <v>925</v>
      </c>
      <c r="E41" s="1582" t="s">
        <v>474</v>
      </c>
      <c r="F41" s="1582" t="s">
        <v>475</v>
      </c>
      <c r="G41" s="2792"/>
      <c r="H41" s="2793"/>
      <c r="I41" s="2793">
        <f>SUM(I42:I43)</f>
        <v>1606.5</v>
      </c>
      <c r="J41" s="2794">
        <f>SUM(J42:J43)</f>
        <v>1606.1</v>
      </c>
      <c r="K41" s="2795">
        <f>J41/I41%</f>
        <v>99.97510115157172</v>
      </c>
      <c r="L41" s="220"/>
      <c r="M41" s="176"/>
      <c r="N41" s="176"/>
      <c r="O41" s="210"/>
    </row>
    <row r="42" spans="1:15" ht="45" customHeight="1">
      <c r="A42" s="141"/>
      <c r="B42" s="1162" t="s">
        <v>185</v>
      </c>
      <c r="C42" s="2796" t="str">
        <f>'Бюд.р.'!A83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42" s="2850">
        <v>925</v>
      </c>
      <c r="E42" s="1515" t="s">
        <v>474</v>
      </c>
      <c r="F42" s="2851" t="str">
        <f>'Бюд.р.'!D84</f>
        <v>002  04 00</v>
      </c>
      <c r="G42" s="2852">
        <f>'Бюд.р.'!F83</f>
        <v>100</v>
      </c>
      <c r="H42" s="2853"/>
      <c r="I42" s="2854">
        <v>674.2</v>
      </c>
      <c r="J42" s="2855">
        <v>673.9</v>
      </c>
      <c r="K42" s="2856">
        <f>J42/I42%</f>
        <v>99.95550281815484</v>
      </c>
      <c r="L42" s="220"/>
      <c r="M42" s="176"/>
      <c r="N42" s="176"/>
      <c r="O42" s="210"/>
    </row>
    <row r="43" spans="1:15" ht="24.75" customHeight="1" thickBot="1">
      <c r="A43" s="141"/>
      <c r="B43" s="1162" t="s">
        <v>186</v>
      </c>
      <c r="C43" s="2831" t="str">
        <f>'Бюд.р.'!A89</f>
        <v>Закупка товаров, работ и услуг  для государственных (муниципальных) нужд</v>
      </c>
      <c r="D43" s="2850">
        <v>925</v>
      </c>
      <c r="E43" s="1515" t="s">
        <v>474</v>
      </c>
      <c r="F43" s="2851" t="str">
        <f>'Бюд.р.'!D94</f>
        <v>002 04 00</v>
      </c>
      <c r="G43" s="2852">
        <f>'Бюд.р.'!F89</f>
        <v>200</v>
      </c>
      <c r="H43" s="2853"/>
      <c r="I43" s="2854">
        <v>932.3</v>
      </c>
      <c r="J43" s="2855">
        <v>932.2</v>
      </c>
      <c r="K43" s="2856">
        <f>J43/I43%</f>
        <v>99.98927383889306</v>
      </c>
      <c r="L43" s="220"/>
      <c r="M43" s="176"/>
      <c r="N43" s="176"/>
      <c r="O43" s="210"/>
    </row>
    <row r="44" spans="1:15" ht="15.75" customHeight="1" hidden="1" thickBot="1">
      <c r="A44" s="141"/>
      <c r="B44" s="1162" t="s">
        <v>1301</v>
      </c>
      <c r="C44" s="2857" t="str">
        <f>'Бюд.р.'!A103</f>
        <v>Иные бюджетные ассигнования</v>
      </c>
      <c r="D44" s="2850">
        <v>925</v>
      </c>
      <c r="E44" s="2858" t="s">
        <v>474</v>
      </c>
      <c r="F44" s="2851" t="s">
        <v>475</v>
      </c>
      <c r="G44" s="2852">
        <f>'Бюд.р.'!F103</f>
        <v>800</v>
      </c>
      <c r="H44" s="2853"/>
      <c r="I44" s="2853"/>
      <c r="J44" s="2859"/>
      <c r="K44" s="2856">
        <f>'Бюд.р.'!H103</f>
        <v>0</v>
      </c>
      <c r="L44" s="220"/>
      <c r="M44" s="176"/>
      <c r="N44" s="176"/>
      <c r="O44" s="210"/>
    </row>
    <row r="45" spans="1:15" ht="20.25" customHeight="1" hidden="1">
      <c r="A45" s="141"/>
      <c r="B45" s="2412" t="s">
        <v>1314</v>
      </c>
      <c r="C45" s="2860" t="str">
        <f>'Бюд.р.'!A107</f>
        <v>Другие общегосударственные вопросы</v>
      </c>
      <c r="D45" s="2803">
        <v>968</v>
      </c>
      <c r="E45" s="2861" t="s">
        <v>857</v>
      </c>
      <c r="F45" s="1513"/>
      <c r="G45" s="2804"/>
      <c r="H45" s="2805"/>
      <c r="I45" s="2805"/>
      <c r="J45" s="2806"/>
      <c r="K45" s="2807">
        <f>K46</f>
        <v>0</v>
      </c>
      <c r="L45" s="220"/>
      <c r="M45" s="176"/>
      <c r="N45" s="176"/>
      <c r="O45" s="210"/>
    </row>
    <row r="46" spans="1:15" ht="41.25" customHeight="1" hidden="1">
      <c r="A46" s="141"/>
      <c r="B46" s="1163" t="s">
        <v>443</v>
      </c>
      <c r="C46" s="2808" t="str">
        <f>'Бюд.р.'!A108</f>
        <v>УПЛАТА ЧЛЕНСКИХ ВЗНОСОВ НА ОСУЩЕСТВЛЕНИЕ ДЕЯТЕЛЬНОСТИ СОВЕТА МУНИЦИПАЛЬНЫХ ОБРАЗОВАНИЙ САНКТ-ПЕТЕРБУРГА И СОДЕРЖАНИЕ ЕГО ОРГАНОВ</v>
      </c>
      <c r="D46" s="2791">
        <v>968</v>
      </c>
      <c r="E46" s="1582" t="s">
        <v>857</v>
      </c>
      <c r="F46" s="1582" t="str">
        <f>F47</f>
        <v>092 05 00</v>
      </c>
      <c r="G46" s="2798"/>
      <c r="H46" s="2799"/>
      <c r="I46" s="2799"/>
      <c r="J46" s="2800"/>
      <c r="K46" s="2795">
        <f>K47</f>
        <v>0</v>
      </c>
      <c r="L46" s="220"/>
      <c r="M46" s="176"/>
      <c r="N46" s="176"/>
      <c r="O46" s="210"/>
    </row>
    <row r="47" spans="1:15" ht="16.5" customHeight="1" hidden="1" thickBot="1">
      <c r="A47" s="141"/>
      <c r="B47" s="1162" t="s">
        <v>185</v>
      </c>
      <c r="C47" s="2831" t="str">
        <f>'Бюд.р.'!A109</f>
        <v>Иные бюджетные ассигнования</v>
      </c>
      <c r="D47" s="2797" t="s">
        <v>591</v>
      </c>
      <c r="E47" s="1768" t="s">
        <v>857</v>
      </c>
      <c r="F47" s="1768" t="str">
        <f>'Бюд.р.'!D109</f>
        <v>092 05 00</v>
      </c>
      <c r="G47" s="2798">
        <f>'Бюд.р.'!F109</f>
        <v>800</v>
      </c>
      <c r="H47" s="2799"/>
      <c r="I47" s="2799"/>
      <c r="J47" s="2800"/>
      <c r="K47" s="2801">
        <f>'Бюд.р.'!H109</f>
        <v>0</v>
      </c>
      <c r="L47" s="220"/>
      <c r="M47" s="176"/>
      <c r="N47" s="176"/>
      <c r="O47" s="210"/>
    </row>
    <row r="48" spans="1:15" ht="27.75" customHeight="1" thickBot="1">
      <c r="A48" s="141"/>
      <c r="B48" s="1766"/>
      <c r="C48" s="2775" t="s">
        <v>458</v>
      </c>
      <c r="D48" s="2776" t="s">
        <v>591</v>
      </c>
      <c r="E48" s="2363"/>
      <c r="F48" s="2363"/>
      <c r="G48" s="2777"/>
      <c r="H48" s="2778"/>
      <c r="I48" s="2779">
        <f>I49+I78+I84+I91+I124+I146+I155+I167+I171</f>
        <v>116891.79999999999</v>
      </c>
      <c r="J48" s="2780">
        <f>J49+J78+J84+J91+J124+J146+J155+J167+J171</f>
        <v>113683.09999999999</v>
      </c>
      <c r="K48" s="2781">
        <f>J48/I48%</f>
        <v>97.25498281316568</v>
      </c>
      <c r="L48" s="220"/>
      <c r="M48" s="176"/>
      <c r="N48" s="176"/>
      <c r="O48" s="210"/>
    </row>
    <row r="49" spans="1:15" ht="18" customHeight="1" thickBot="1">
      <c r="A49" s="141"/>
      <c r="B49" s="2411" t="s">
        <v>678</v>
      </c>
      <c r="C49" s="2931" t="s">
        <v>102</v>
      </c>
      <c r="D49" s="2783">
        <v>968</v>
      </c>
      <c r="E49" s="2784" t="s">
        <v>457</v>
      </c>
      <c r="F49" s="2784"/>
      <c r="G49" s="2785"/>
      <c r="H49" s="2786"/>
      <c r="I49" s="2862">
        <f>I50+I60+I63</f>
        <v>29256.699999999997</v>
      </c>
      <c r="J49" s="2863">
        <f>J50+J60+J63</f>
        <v>26321.6</v>
      </c>
      <c r="K49" s="2788">
        <f>K50+K60+K63</f>
        <v>199.74711094587477</v>
      </c>
      <c r="L49" s="220"/>
      <c r="M49" s="176"/>
      <c r="N49" s="176"/>
      <c r="O49" s="210"/>
    </row>
    <row r="50" spans="1:15" ht="45.75" customHeight="1">
      <c r="A50" s="141"/>
      <c r="B50" s="2412" t="s">
        <v>548</v>
      </c>
      <c r="C50" s="2790" t="str">
        <f>'Бюд.р.'!A157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D50" s="2791">
        <v>968</v>
      </c>
      <c r="E50" s="2369" t="s">
        <v>476</v>
      </c>
      <c r="F50" s="1582"/>
      <c r="G50" s="2792"/>
      <c r="H50" s="2793"/>
      <c r="I50" s="2793">
        <f>I51+I53+I58</f>
        <v>25821.6</v>
      </c>
      <c r="J50" s="2794">
        <f>J51+J53+J58</f>
        <v>25756.3</v>
      </c>
      <c r="K50" s="2795">
        <f aca="true" t="shared" si="3" ref="K50:K59">J50/I50%</f>
        <v>99.74711094587477</v>
      </c>
      <c r="L50" s="220"/>
      <c r="M50" s="176"/>
      <c r="N50" s="176"/>
      <c r="O50" s="210"/>
    </row>
    <row r="51" spans="1:15" ht="16.5" customHeight="1">
      <c r="A51" s="141"/>
      <c r="B51" s="1163" t="s">
        <v>182</v>
      </c>
      <c r="C51" s="2790" t="str">
        <f>'Бюд.р.'!A158</f>
        <v>ГЛАВА МЕСТНОЙ АДМИНИСТРАЦИИ</v>
      </c>
      <c r="D51" s="2791" t="s">
        <v>591</v>
      </c>
      <c r="E51" s="1582" t="s">
        <v>476</v>
      </c>
      <c r="F51" s="1582" t="s">
        <v>477</v>
      </c>
      <c r="G51" s="2792"/>
      <c r="H51" s="2793"/>
      <c r="I51" s="2793">
        <f>I52</f>
        <v>1301.7</v>
      </c>
      <c r="J51" s="2794">
        <f>J52</f>
        <v>1301.7</v>
      </c>
      <c r="K51" s="2795">
        <f t="shared" si="3"/>
        <v>100</v>
      </c>
      <c r="L51" s="217"/>
      <c r="M51" s="93"/>
      <c r="N51" s="93"/>
      <c r="O51" s="241"/>
    </row>
    <row r="52" spans="1:15" ht="46.5" customHeight="1">
      <c r="A52" s="141"/>
      <c r="B52" s="1162" t="s">
        <v>185</v>
      </c>
      <c r="C52" s="2796" t="str">
        <f>'Бюд.р.'!A159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52" s="2797" t="s">
        <v>591</v>
      </c>
      <c r="E52" s="1768" t="s">
        <v>476</v>
      </c>
      <c r="F52" s="1768" t="s">
        <v>477</v>
      </c>
      <c r="G52" s="2798">
        <f>'Бюд.р.'!F159</f>
        <v>100</v>
      </c>
      <c r="H52" s="2864"/>
      <c r="I52" s="2865">
        <v>1301.7</v>
      </c>
      <c r="J52" s="2866">
        <v>1301.7</v>
      </c>
      <c r="K52" s="2814">
        <f t="shared" si="3"/>
        <v>100</v>
      </c>
      <c r="L52" s="217"/>
      <c r="M52" s="93"/>
      <c r="N52" s="93"/>
      <c r="O52" s="241"/>
    </row>
    <row r="53" spans="1:15" ht="33.75" customHeight="1">
      <c r="A53" s="134" t="s">
        <v>235</v>
      </c>
      <c r="B53" s="1163" t="s">
        <v>374</v>
      </c>
      <c r="C53" s="2790" t="str">
        <f>'Бюд.р.'!A165</f>
        <v>СОДЕРЖАНИЕ И ОБЕСПЕЧЕНИЕ ДЕЯТЕЛЬНОСТИ МЕСТНОЙ АДМИНИСТРАЦИИ ПО РЕШЕНИЮ ВОПРОСОВ МЕСТНОГО ЗНАЧЕНИЯ</v>
      </c>
      <c r="D53" s="2791" t="s">
        <v>591</v>
      </c>
      <c r="E53" s="1582" t="s">
        <v>476</v>
      </c>
      <c r="F53" s="1582" t="s">
        <v>52</v>
      </c>
      <c r="G53" s="2792"/>
      <c r="H53" s="2799"/>
      <c r="I53" s="2811">
        <f>SUM(I54:I57)</f>
        <v>24514.3</v>
      </c>
      <c r="J53" s="2867">
        <f>SUM(J54:J57)</f>
        <v>24449</v>
      </c>
      <c r="K53" s="2795">
        <f t="shared" si="3"/>
        <v>99.73362486385497</v>
      </c>
      <c r="L53" s="218">
        <f>SUM(L54:L54)</f>
        <v>2691.8</v>
      </c>
      <c r="M53" s="127">
        <f>SUM(M54:M54)</f>
        <v>2768.6</v>
      </c>
      <c r="N53" s="127">
        <f>SUM(N54:N54)</f>
        <v>4207.1</v>
      </c>
      <c r="O53" s="242">
        <f>SUM(O54:O54)</f>
        <v>2727.5</v>
      </c>
    </row>
    <row r="54" spans="1:15" ht="45" customHeight="1">
      <c r="A54" s="134"/>
      <c r="B54" s="1162" t="s">
        <v>185</v>
      </c>
      <c r="C54" s="2796" t="str">
        <f>'Бюд.р.'!A166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54" s="2809">
        <v>968</v>
      </c>
      <c r="E54" s="1768" t="s">
        <v>476</v>
      </c>
      <c r="F54" s="1585" t="s">
        <v>52</v>
      </c>
      <c r="G54" s="2810">
        <f>'Бюд.р.'!F166</f>
        <v>100</v>
      </c>
      <c r="H54" s="2812"/>
      <c r="I54" s="2812">
        <v>19466.6</v>
      </c>
      <c r="J54" s="2813">
        <v>19465.9</v>
      </c>
      <c r="K54" s="2814">
        <f t="shared" si="3"/>
        <v>99.99640409727431</v>
      </c>
      <c r="L54" s="219">
        <v>2691.8</v>
      </c>
      <c r="M54" s="130">
        <v>2768.6</v>
      </c>
      <c r="N54" s="130">
        <v>4207.1</v>
      </c>
      <c r="O54" s="243">
        <v>2727.5</v>
      </c>
    </row>
    <row r="55" spans="1:15" ht="25.5" customHeight="1">
      <c r="A55" s="134"/>
      <c r="B55" s="1162" t="s">
        <v>186</v>
      </c>
      <c r="C55" s="2831" t="str">
        <f>'Бюд.р.'!A172</f>
        <v>Закупка товаров, работ и услуг  для государственных (муниципальных) нужд</v>
      </c>
      <c r="D55" s="2809">
        <v>968</v>
      </c>
      <c r="E55" s="1768" t="s">
        <v>476</v>
      </c>
      <c r="F55" s="1585" t="s">
        <v>52</v>
      </c>
      <c r="G55" s="2810">
        <f>'Бюд.р.'!F172</f>
        <v>200</v>
      </c>
      <c r="H55" s="2812"/>
      <c r="I55" s="2812">
        <v>4975.2</v>
      </c>
      <c r="J55" s="2813">
        <v>4910.6</v>
      </c>
      <c r="K55" s="2814">
        <f t="shared" si="3"/>
        <v>98.70155973629203</v>
      </c>
      <c r="L55" s="219"/>
      <c r="M55" s="130"/>
      <c r="N55" s="130"/>
      <c r="O55" s="243"/>
    </row>
    <row r="56" spans="1:15" ht="12.75" customHeight="1">
      <c r="A56" s="134"/>
      <c r="B56" s="1162" t="s">
        <v>1301</v>
      </c>
      <c r="C56" s="2831" t="str">
        <f>'Бюд.р.'!A194</f>
        <v>Социальное обеспечение и иные выплаты населению</v>
      </c>
      <c r="D56" s="2809">
        <v>968</v>
      </c>
      <c r="E56" s="1773" t="s">
        <v>476</v>
      </c>
      <c r="F56" s="1585" t="s">
        <v>52</v>
      </c>
      <c r="G56" s="2810">
        <f>'Бюд.р.'!F194</f>
        <v>300</v>
      </c>
      <c r="H56" s="2812"/>
      <c r="I56" s="2812">
        <v>57.1</v>
      </c>
      <c r="J56" s="2813">
        <v>57.1</v>
      </c>
      <c r="K56" s="2814">
        <f t="shared" si="3"/>
        <v>99.99999999999999</v>
      </c>
      <c r="L56" s="219"/>
      <c r="M56" s="130"/>
      <c r="N56" s="130"/>
      <c r="O56" s="243"/>
    </row>
    <row r="57" spans="1:15" ht="12.75" customHeight="1">
      <c r="A57" s="134"/>
      <c r="B57" s="1162" t="s">
        <v>192</v>
      </c>
      <c r="C57" s="2831" t="str">
        <f>'Бюд.р.'!A208</f>
        <v>Иные бюджетные ассигнования</v>
      </c>
      <c r="D57" s="2809">
        <v>968</v>
      </c>
      <c r="E57" s="1768" t="s">
        <v>476</v>
      </c>
      <c r="F57" s="1585" t="s">
        <v>52</v>
      </c>
      <c r="G57" s="2810">
        <f>'Бюд.р.'!F208</f>
        <v>800</v>
      </c>
      <c r="H57" s="2812"/>
      <c r="I57" s="2812">
        <v>15.4</v>
      </c>
      <c r="J57" s="2813">
        <v>15.4</v>
      </c>
      <c r="K57" s="2814">
        <f t="shared" si="3"/>
        <v>100</v>
      </c>
      <c r="L57" s="219"/>
      <c r="M57" s="130"/>
      <c r="N57" s="130"/>
      <c r="O57" s="243"/>
    </row>
    <row r="58" spans="1:15" ht="50.25" customHeight="1">
      <c r="A58" s="134"/>
      <c r="B58" s="1167" t="s">
        <v>991</v>
      </c>
      <c r="C58" s="2868" t="str">
        <f>'Бюд.р.'!A215</f>
        <v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v>
      </c>
      <c r="D58" s="2869">
        <v>968</v>
      </c>
      <c r="E58" s="2304" t="s">
        <v>476</v>
      </c>
      <c r="F58" s="2304" t="str">
        <f>'Бюд.р.'!D215</f>
        <v>002  80 10</v>
      </c>
      <c r="G58" s="2870"/>
      <c r="H58" s="2812"/>
      <c r="I58" s="2811">
        <f>I59</f>
        <v>5.6</v>
      </c>
      <c r="J58" s="2867">
        <f>J59</f>
        <v>5.6</v>
      </c>
      <c r="K58" s="2871">
        <f t="shared" si="3"/>
        <v>100</v>
      </c>
      <c r="L58" s="219"/>
      <c r="M58" s="130"/>
      <c r="N58" s="130"/>
      <c r="O58" s="243"/>
    </row>
    <row r="59" spans="1:15" ht="25.5" customHeight="1">
      <c r="A59" s="135" t="s">
        <v>195</v>
      </c>
      <c r="B59" s="1162" t="s">
        <v>185</v>
      </c>
      <c r="C59" s="2831" t="str">
        <f>'Бюд.р.'!A216</f>
        <v>Закупка товаров, работ и услуг  для государственных (муниципальных) нужд</v>
      </c>
      <c r="D59" s="2809">
        <v>968</v>
      </c>
      <c r="E59" s="1768" t="s">
        <v>476</v>
      </c>
      <c r="F59" s="1585" t="str">
        <f>'Бюд.р.'!D217</f>
        <v>002  80 10</v>
      </c>
      <c r="G59" s="2810">
        <f>'Бюд.р.'!F216</f>
        <v>200</v>
      </c>
      <c r="H59" s="2812"/>
      <c r="I59" s="2812">
        <v>5.6</v>
      </c>
      <c r="J59" s="2813">
        <v>5.6</v>
      </c>
      <c r="K59" s="2814">
        <f t="shared" si="3"/>
        <v>100</v>
      </c>
      <c r="L59" s="218" t="e">
        <f>#REF!</f>
        <v>#REF!</v>
      </c>
      <c r="M59" s="127" t="e">
        <f>#REF!</f>
        <v>#REF!</v>
      </c>
      <c r="N59" s="127" t="e">
        <f>#REF!</f>
        <v>#REF!</v>
      </c>
      <c r="O59" s="242" t="e">
        <f>#REF!</f>
        <v>#REF!</v>
      </c>
    </row>
    <row r="60" spans="1:15" ht="15.75" customHeight="1">
      <c r="A60" s="135"/>
      <c r="B60" s="2412" t="s">
        <v>233</v>
      </c>
      <c r="C60" s="2860" t="str">
        <f>'Бюд.р.'!A227</f>
        <v>Резервные фонды</v>
      </c>
      <c r="D60" s="2791">
        <v>968</v>
      </c>
      <c r="E60" s="2369" t="s">
        <v>1239</v>
      </c>
      <c r="F60" s="1582"/>
      <c r="G60" s="2792"/>
      <c r="H60" s="2793"/>
      <c r="I60" s="2793">
        <f aca="true" t="shared" si="4" ref="I60:K61">I61</f>
        <v>2869.8</v>
      </c>
      <c r="J60" s="2794">
        <f t="shared" si="4"/>
        <v>0</v>
      </c>
      <c r="K60" s="2795">
        <f t="shared" si="4"/>
        <v>0</v>
      </c>
      <c r="L60" s="218"/>
      <c r="M60" s="127"/>
      <c r="N60" s="127"/>
      <c r="O60" s="242"/>
    </row>
    <row r="61" spans="1:15" ht="12.75">
      <c r="A61" s="139" t="s">
        <v>419</v>
      </c>
      <c r="B61" s="1161" t="s">
        <v>679</v>
      </c>
      <c r="C61" s="2815" t="str">
        <f>'Бюд.р.'!A228</f>
        <v>Резервный фонд местной администрации</v>
      </c>
      <c r="D61" s="2835">
        <v>968</v>
      </c>
      <c r="E61" s="2296" t="s">
        <v>1239</v>
      </c>
      <c r="F61" s="1582" t="s">
        <v>26</v>
      </c>
      <c r="G61" s="2872"/>
      <c r="H61" s="2873"/>
      <c r="I61" s="2874">
        <f t="shared" si="4"/>
        <v>2869.8</v>
      </c>
      <c r="J61" s="2875">
        <f t="shared" si="4"/>
        <v>0</v>
      </c>
      <c r="K61" s="2876">
        <f t="shared" si="4"/>
        <v>0</v>
      </c>
      <c r="L61" s="219"/>
      <c r="M61" s="130"/>
      <c r="N61" s="130"/>
      <c r="O61" s="243"/>
    </row>
    <row r="62" spans="1:15" ht="12.75">
      <c r="A62" s="139" t="s">
        <v>185</v>
      </c>
      <c r="B62" s="1162" t="s">
        <v>185</v>
      </c>
      <c r="C62" s="2831" t="str">
        <f>'Бюд.р.'!A229</f>
        <v>Иные бюджетные ассигнования</v>
      </c>
      <c r="D62" s="2809">
        <v>968</v>
      </c>
      <c r="E62" s="1774" t="s">
        <v>1239</v>
      </c>
      <c r="F62" s="1585" t="s">
        <v>27</v>
      </c>
      <c r="G62" s="2810">
        <f>'Бюд.р.'!F229</f>
        <v>800</v>
      </c>
      <c r="H62" s="2832"/>
      <c r="I62" s="2812">
        <v>2869.8</v>
      </c>
      <c r="J62" s="2813">
        <v>0</v>
      </c>
      <c r="K62" s="2814">
        <f>J62/I62%</f>
        <v>0</v>
      </c>
      <c r="L62" s="219"/>
      <c r="M62" s="130"/>
      <c r="N62" s="130"/>
      <c r="O62" s="243"/>
    </row>
    <row r="63" spans="1:15" ht="12.75">
      <c r="A63" s="139"/>
      <c r="B63" s="2412" t="s">
        <v>613</v>
      </c>
      <c r="C63" s="2860" t="str">
        <f>'Бюд.р.'!A233</f>
        <v>Другие общегосударственные вопросы</v>
      </c>
      <c r="D63" s="2791">
        <v>968</v>
      </c>
      <c r="E63" s="2369" t="s">
        <v>857</v>
      </c>
      <c r="F63" s="1582"/>
      <c r="G63" s="2792"/>
      <c r="H63" s="2793"/>
      <c r="I63" s="2877">
        <f>I66+I68+I70+I72+I74+I76</f>
        <v>565.3000000000001</v>
      </c>
      <c r="J63" s="2878">
        <f>J66+J68+J70+J72+J74+J76</f>
        <v>565.3000000000001</v>
      </c>
      <c r="K63" s="2795">
        <f>J63/I63%</f>
        <v>100</v>
      </c>
      <c r="L63" s="219"/>
      <c r="M63" s="130"/>
      <c r="N63" s="130"/>
      <c r="O63" s="243"/>
    </row>
    <row r="64" spans="1:15" ht="34.5" customHeight="1" hidden="1">
      <c r="A64" s="139"/>
      <c r="B64" s="1163" t="s">
        <v>443</v>
      </c>
      <c r="C64" s="2808" t="str">
        <f>'Бюд.р.'!A234</f>
        <v>ФОРМИРОВАНИЕ АРХИВНЫХ ФОНДОВ ОРГАНОВ МЕСТНОГО САМОУПРАВЛЕНИЯ,МУНИЦИПАЛЬНЫХ ПРЕДПРИЯТИЙ И УЧРЕЖДЕНИЙ</v>
      </c>
      <c r="D64" s="2791" t="s">
        <v>591</v>
      </c>
      <c r="E64" s="1582" t="s">
        <v>857</v>
      </c>
      <c r="F64" s="2879" t="str">
        <f>F65</f>
        <v>090 01 00</v>
      </c>
      <c r="G64" s="2792"/>
      <c r="H64" s="2880"/>
      <c r="I64" s="2880"/>
      <c r="J64" s="2881"/>
      <c r="K64" s="2795">
        <f>K65</f>
        <v>0</v>
      </c>
      <c r="L64" s="218">
        <f>L65</f>
        <v>0</v>
      </c>
      <c r="M64" s="127">
        <f>M65</f>
        <v>0</v>
      </c>
      <c r="N64" s="127">
        <f>N65</f>
        <v>0</v>
      </c>
      <c r="O64" s="242">
        <f>O65</f>
        <v>0</v>
      </c>
    </row>
    <row r="65" spans="1:15" ht="24.75" customHeight="1" hidden="1">
      <c r="A65" s="141"/>
      <c r="B65" s="1162" t="s">
        <v>185</v>
      </c>
      <c r="C65" s="2831" t="str">
        <f>'Бюд.р.'!A235</f>
        <v>Закупка товаров, работ и услуг  для государственных (муниципальных) нужд</v>
      </c>
      <c r="D65" s="2797" t="s">
        <v>591</v>
      </c>
      <c r="E65" s="1768" t="s">
        <v>857</v>
      </c>
      <c r="F65" s="1768" t="s">
        <v>937</v>
      </c>
      <c r="G65" s="2798">
        <f>'Бюд.р.'!F235</f>
        <v>200</v>
      </c>
      <c r="H65" s="2848"/>
      <c r="I65" s="2848"/>
      <c r="J65" s="2849"/>
      <c r="K65" s="2801">
        <f>'Бюд.р.'!H235</f>
        <v>0</v>
      </c>
      <c r="L65" s="219">
        <v>0</v>
      </c>
      <c r="M65" s="130">
        <v>0</v>
      </c>
      <c r="N65" s="130">
        <v>0</v>
      </c>
      <c r="O65" s="243">
        <v>0</v>
      </c>
    </row>
    <row r="66" spans="1:15" ht="34.5" customHeight="1">
      <c r="A66" s="135"/>
      <c r="B66" s="1163" t="s">
        <v>443</v>
      </c>
      <c r="C66" s="2808" t="str">
        <f>'Бюд.р.'!A247</f>
        <v>РАСХОДЫ НА ОСУЩЕСТВЛЕНИЕ ЗАКУПОК ТОВАРОВ, РАБОТ, УСЛУГ ДЛЯ ОБЕСПЕЧЕНИЯ МУНИЦИПАЛЬНЫХ НУЖД</v>
      </c>
      <c r="D66" s="2791">
        <v>968</v>
      </c>
      <c r="E66" s="2369" t="s">
        <v>857</v>
      </c>
      <c r="F66" s="1582" t="str">
        <f>F67</f>
        <v>092 02 00</v>
      </c>
      <c r="G66" s="2792"/>
      <c r="H66" s="2793"/>
      <c r="I66" s="2882">
        <f>I67</f>
        <v>120</v>
      </c>
      <c r="J66" s="2878">
        <f>J67</f>
        <v>120</v>
      </c>
      <c r="K66" s="2795">
        <f aca="true" t="shared" si="5" ref="K66:K77">J66/I66%</f>
        <v>100</v>
      </c>
      <c r="L66" s="219"/>
      <c r="M66" s="130"/>
      <c r="N66" s="130"/>
      <c r="O66" s="243"/>
    </row>
    <row r="67" spans="1:15" ht="24" customHeight="1">
      <c r="A67" s="135"/>
      <c r="B67" s="1162" t="s">
        <v>185</v>
      </c>
      <c r="C67" s="2831" t="str">
        <f>'Бюд.р.'!A248</f>
        <v>Закупка товаров, работ и услуг  для государственных (муниципальных) нужд</v>
      </c>
      <c r="D67" s="2809">
        <v>968</v>
      </c>
      <c r="E67" s="1774" t="s">
        <v>857</v>
      </c>
      <c r="F67" s="1585" t="s">
        <v>556</v>
      </c>
      <c r="G67" s="2810">
        <f>'Бюд.р.'!F248</f>
        <v>200</v>
      </c>
      <c r="H67" s="2812"/>
      <c r="I67" s="2883">
        <v>120</v>
      </c>
      <c r="J67" s="2884">
        <v>120</v>
      </c>
      <c r="K67" s="2814">
        <f t="shared" si="5"/>
        <v>100</v>
      </c>
      <c r="L67" s="219"/>
      <c r="M67" s="130"/>
      <c r="N67" s="130"/>
      <c r="O67" s="243"/>
    </row>
    <row r="68" spans="1:15" ht="46.5" customHeight="1">
      <c r="A68" s="135"/>
      <c r="B68" s="1163" t="s">
        <v>1186</v>
      </c>
      <c r="C68" s="2868" t="str">
        <f>'Бюд.р.'!A252</f>
        <v>УПЛАТА ЧЛЕНСКИХ ВЗНОСОВ НА ОСУЩЕСТВЛЕНИЕ ДЕЯТЕЛЬНОСТИ СОВЕТА МУНИЦИПАЛЬНЫХ ОБРАЗОВАНИЙ САНКТ-ПЕТЕРБУРГА И СОДЕРЖАНИЕ ЕГО ОРГАНОВ</v>
      </c>
      <c r="D68" s="2869">
        <v>968</v>
      </c>
      <c r="E68" s="2305" t="s">
        <v>857</v>
      </c>
      <c r="F68" s="2304" t="str">
        <f>'Бюд.р.'!D252</f>
        <v>092 05 00</v>
      </c>
      <c r="G68" s="2870"/>
      <c r="H68" s="2811"/>
      <c r="I68" s="2885">
        <f>I69</f>
        <v>72</v>
      </c>
      <c r="J68" s="2886">
        <f>J69</f>
        <v>72</v>
      </c>
      <c r="K68" s="2871">
        <f t="shared" si="5"/>
        <v>100</v>
      </c>
      <c r="L68" s="219"/>
      <c r="M68" s="130"/>
      <c r="N68" s="130"/>
      <c r="O68" s="243"/>
    </row>
    <row r="69" spans="1:15" ht="16.5" customHeight="1">
      <c r="A69" s="135"/>
      <c r="B69" s="1168" t="s">
        <v>185</v>
      </c>
      <c r="C69" s="2831" t="str">
        <f>'Бюд.р.'!A253</f>
        <v>Иные бюджетные ассигнования</v>
      </c>
      <c r="D69" s="2809">
        <v>968</v>
      </c>
      <c r="E69" s="1774" t="s">
        <v>857</v>
      </c>
      <c r="F69" s="1585" t="str">
        <f>'Бюд.р.'!D253</f>
        <v>092 05 00</v>
      </c>
      <c r="G69" s="2810">
        <f>'Бюд.р.'!F253</f>
        <v>800</v>
      </c>
      <c r="H69" s="2812"/>
      <c r="I69" s="2883">
        <v>72</v>
      </c>
      <c r="J69" s="2884">
        <v>72</v>
      </c>
      <c r="K69" s="2814">
        <f t="shared" si="5"/>
        <v>100</v>
      </c>
      <c r="L69" s="219"/>
      <c r="M69" s="130"/>
      <c r="N69" s="130"/>
      <c r="O69" s="243"/>
    </row>
    <row r="70" spans="1:15" ht="58.5" customHeight="1">
      <c r="A70" s="146"/>
      <c r="B70" s="1163" t="s">
        <v>1187</v>
      </c>
      <c r="C70" s="2808" t="str">
        <f>'Бюд.р.'!A257</f>
        <v>ОРГАНИЗАЦИЯ ИНФОРМИРОВАНИЯ,КОНСУЛЬТИРОВАНИЯ И СОДЕЙСТВИЯ ЖИТЕЛЯМ МУНИЦИПАЛЬНОГО ОБРАЗОВАНИЯ ПО ВОПРОСАМ СОЗДАНИЯ ТСЖ, ФОРМИРОВАНИЯ ЗЕМЕЛЬНЫХ УЧАСТКОВ, НА КОТОРЫХ РАСПОЛОЖЕНЫ МНОГОКВАРТИРНЫЕ ДОМА</v>
      </c>
      <c r="D70" s="2791">
        <v>968</v>
      </c>
      <c r="E70" s="1582" t="s">
        <v>857</v>
      </c>
      <c r="F70" s="1582" t="str">
        <f>F71</f>
        <v>092 06 00</v>
      </c>
      <c r="G70" s="2792"/>
      <c r="H70" s="2793"/>
      <c r="I70" s="2882">
        <f>I71</f>
        <v>144</v>
      </c>
      <c r="J70" s="2878">
        <f>J71</f>
        <v>144</v>
      </c>
      <c r="K70" s="2795">
        <f t="shared" si="5"/>
        <v>100</v>
      </c>
      <c r="L70" s="220"/>
      <c r="M70" s="176"/>
      <c r="N70" s="176"/>
      <c r="O70" s="210"/>
    </row>
    <row r="71" spans="1:15" ht="22.5" customHeight="1">
      <c r="A71" s="146"/>
      <c r="B71" s="1168" t="s">
        <v>185</v>
      </c>
      <c r="C71" s="2831" t="str">
        <f>'Бюд.р.'!A258</f>
        <v>Закупка товаров, работ и услуг  для государственных (муниципальных) нужд</v>
      </c>
      <c r="D71" s="2850">
        <v>968</v>
      </c>
      <c r="E71" s="1768" t="s">
        <v>857</v>
      </c>
      <c r="F71" s="2851" t="s">
        <v>942</v>
      </c>
      <c r="G71" s="2852">
        <f>'Бюд.р.'!F258</f>
        <v>200</v>
      </c>
      <c r="H71" s="2854"/>
      <c r="I71" s="2883">
        <v>144</v>
      </c>
      <c r="J71" s="2884">
        <v>144</v>
      </c>
      <c r="K71" s="2814">
        <f t="shared" si="5"/>
        <v>100</v>
      </c>
      <c r="L71" s="220"/>
      <c r="M71" s="176"/>
      <c r="N71" s="176"/>
      <c r="O71" s="210"/>
    </row>
    <row r="72" spans="1:16" ht="33.75">
      <c r="A72" s="146"/>
      <c r="B72" s="1186" t="s">
        <v>1315</v>
      </c>
      <c r="C72" s="2808" t="str">
        <f>'Бюд.р.'!A273</f>
        <v>Ведомственная целевая программа  по участию в деятельности по профилактике правонарушений в Санкт-Петербурге на территории МО</v>
      </c>
      <c r="D72" s="2791">
        <v>968</v>
      </c>
      <c r="E72" s="1582" t="s">
        <v>857</v>
      </c>
      <c r="F72" s="1582" t="str">
        <f>F73</f>
        <v>795 02 00</v>
      </c>
      <c r="G72" s="2798"/>
      <c r="H72" s="2887"/>
      <c r="I72" s="2306">
        <f>I73</f>
        <v>80.6</v>
      </c>
      <c r="J72" s="2867">
        <f>J73</f>
        <v>80.6</v>
      </c>
      <c r="K72" s="2795">
        <f t="shared" si="5"/>
        <v>100</v>
      </c>
      <c r="L72" s="2738">
        <f>K72/J72%</f>
        <v>124.0694789081886</v>
      </c>
      <c r="M72" s="2738">
        <f>L72/K72%</f>
        <v>124.0694789081886</v>
      </c>
      <c r="N72" s="2738">
        <f>M72/L72%</f>
        <v>100</v>
      </c>
      <c r="O72" s="2738">
        <f>N72/M72%</f>
        <v>80.6</v>
      </c>
      <c r="P72" s="2738">
        <f>O72/N72%</f>
        <v>80.6</v>
      </c>
    </row>
    <row r="73" spans="1:15" ht="24" customHeight="1">
      <c r="A73" s="146"/>
      <c r="B73" s="1162" t="s">
        <v>185</v>
      </c>
      <c r="C73" s="2831" t="str">
        <f>'Бюд.р.'!A274</f>
        <v>Закупка товаров, работ и услуг  для государственных (муниципальных) нужд</v>
      </c>
      <c r="D73" s="2809">
        <v>968</v>
      </c>
      <c r="E73" s="1768" t="s">
        <v>857</v>
      </c>
      <c r="F73" s="1585" t="s">
        <v>945</v>
      </c>
      <c r="G73" s="2810">
        <f>'Бюд.р.'!F274</f>
        <v>200</v>
      </c>
      <c r="H73" s="2888"/>
      <c r="I73" s="1586">
        <v>80.6</v>
      </c>
      <c r="J73" s="2813">
        <v>80.6</v>
      </c>
      <c r="K73" s="2814">
        <f t="shared" si="5"/>
        <v>100</v>
      </c>
      <c r="L73" s="220"/>
      <c r="M73" s="176"/>
      <c r="N73" s="176"/>
      <c r="O73" s="210"/>
    </row>
    <row r="74" spans="1:15" ht="24" customHeight="1">
      <c r="A74" s="146"/>
      <c r="B74" s="1163" t="s">
        <v>1316</v>
      </c>
      <c r="C74" s="2808" t="str">
        <f>'Бюд.р.'!A268</f>
        <v>РАСХОДЫ НА ОСУЩЕСТВЛЕНИЕ ЗАЩИТЫ ПРАВ ПОТРЕБИТЕЛЕЙ</v>
      </c>
      <c r="D74" s="2791">
        <v>968</v>
      </c>
      <c r="E74" s="1582" t="s">
        <v>857</v>
      </c>
      <c r="F74" s="1582" t="str">
        <f>'Бюд.р.'!D268</f>
        <v>092 10 00</v>
      </c>
      <c r="G74" s="2792"/>
      <c r="H74" s="2889"/>
      <c r="I74" s="2882">
        <f>I75</f>
        <v>45</v>
      </c>
      <c r="J74" s="2878">
        <f>J75</f>
        <v>45</v>
      </c>
      <c r="K74" s="2795">
        <f t="shared" si="5"/>
        <v>100</v>
      </c>
      <c r="L74" s="220"/>
      <c r="M74" s="176"/>
      <c r="N74" s="176"/>
      <c r="O74" s="210"/>
    </row>
    <row r="75" spans="1:15" ht="24" customHeight="1">
      <c r="A75" s="146"/>
      <c r="B75" s="1162" t="s">
        <v>185</v>
      </c>
      <c r="C75" s="2831" t="str">
        <f>'Бюд.р.'!A269</f>
        <v>Закупка товаров, работ и услуг  для государственных (муниципальных) нужд</v>
      </c>
      <c r="D75" s="2809">
        <v>968</v>
      </c>
      <c r="E75" s="2890" t="s">
        <v>857</v>
      </c>
      <c r="F75" s="1585" t="str">
        <f>'Бюд.р.'!D269</f>
        <v>092 10 00</v>
      </c>
      <c r="G75" s="2810">
        <f>'Бюд.р.'!F269</f>
        <v>200</v>
      </c>
      <c r="H75" s="2888"/>
      <c r="I75" s="2883">
        <v>45</v>
      </c>
      <c r="J75" s="2884">
        <v>45</v>
      </c>
      <c r="K75" s="2814">
        <f t="shared" si="5"/>
        <v>100</v>
      </c>
      <c r="L75" s="220"/>
      <c r="M75" s="176"/>
      <c r="N75" s="176"/>
      <c r="O75" s="210"/>
    </row>
    <row r="76" spans="1:15" ht="66.75" customHeight="1">
      <c r="A76" s="134"/>
      <c r="B76" s="1163" t="s">
        <v>1317</v>
      </c>
      <c r="C76" s="2808" t="str">
        <f>'Бюд.р.'!A280</f>
        <v>Ведомственная целевая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и информировании населения о вреде потребления табака и вредном воздействии окружающего табачного дыма</v>
      </c>
      <c r="D76" s="2791">
        <v>968</v>
      </c>
      <c r="E76" s="2891" t="s">
        <v>857</v>
      </c>
      <c r="F76" s="1582" t="str">
        <f>'Бюд.р.'!D280</f>
        <v>795 11 00</v>
      </c>
      <c r="G76" s="2792"/>
      <c r="H76" s="2793"/>
      <c r="I76" s="2793">
        <f>I77</f>
        <v>103.7</v>
      </c>
      <c r="J76" s="2794">
        <f>J77</f>
        <v>103.7</v>
      </c>
      <c r="K76" s="2795">
        <f t="shared" si="5"/>
        <v>100.00000000000001</v>
      </c>
      <c r="L76" s="218"/>
      <c r="M76" s="127"/>
      <c r="N76" s="127"/>
      <c r="O76" s="242"/>
    </row>
    <row r="77" spans="1:15" ht="27" customHeight="1" thickBot="1">
      <c r="A77" s="134"/>
      <c r="B77" s="1162" t="s">
        <v>185</v>
      </c>
      <c r="C77" s="2831" t="str">
        <f>'Бюд.р.'!A281</f>
        <v>Закупка товаров, работ и услуг  для государственных (муниципальных) нужд</v>
      </c>
      <c r="D77" s="2809">
        <v>968</v>
      </c>
      <c r="E77" s="2890" t="s">
        <v>857</v>
      </c>
      <c r="F77" s="1585" t="str">
        <f>'Бюд.р.'!D281</f>
        <v>795 11 00</v>
      </c>
      <c r="G77" s="2810">
        <f>'Бюд.р.'!F281</f>
        <v>200</v>
      </c>
      <c r="H77" s="2812"/>
      <c r="I77" s="2812">
        <v>103.7</v>
      </c>
      <c r="J77" s="2813">
        <v>103.7</v>
      </c>
      <c r="K77" s="2814">
        <f t="shared" si="5"/>
        <v>100.00000000000001</v>
      </c>
      <c r="L77" s="218"/>
      <c r="M77" s="127"/>
      <c r="N77" s="127"/>
      <c r="O77" s="242"/>
    </row>
    <row r="78" spans="1:15" ht="27" customHeight="1" thickBot="1">
      <c r="A78" s="134"/>
      <c r="B78" s="2411" t="s">
        <v>768</v>
      </c>
      <c r="C78" s="2931" t="str">
        <f>'Бюд.р.'!A286</f>
        <v>НАЦИОНАЛЬНАЯ БЕЗОПАСНОСТЬ И ПРАВООХРАНИТЕЛЬНАЯ ДЕЯТЕЛЬНОСТЬ</v>
      </c>
      <c r="D78" s="2783">
        <v>968</v>
      </c>
      <c r="E78" s="2892" t="s">
        <v>469</v>
      </c>
      <c r="F78" s="2784"/>
      <c r="G78" s="2785"/>
      <c r="H78" s="2786"/>
      <c r="I78" s="2862">
        <f>I79</f>
        <v>227.6</v>
      </c>
      <c r="J78" s="2863">
        <f>J79</f>
        <v>227.6</v>
      </c>
      <c r="K78" s="2788">
        <f>J78/I78%</f>
        <v>100</v>
      </c>
      <c r="L78" s="218"/>
      <c r="M78" s="127"/>
      <c r="N78" s="127"/>
      <c r="O78" s="242"/>
    </row>
    <row r="79" spans="1:15" ht="40.5" customHeight="1">
      <c r="A79" s="134"/>
      <c r="B79" s="2412" t="s">
        <v>1318</v>
      </c>
      <c r="C79" s="3026" t="str">
        <f>'Бюд.р.'!A287</f>
        <v>Защита населения и территории от чрезвычайных ситуаций природного и техногенного характера, гражданская оборона</v>
      </c>
      <c r="D79" s="2893">
        <v>968</v>
      </c>
      <c r="E79" s="2894" t="s">
        <v>408</v>
      </c>
      <c r="F79" s="2895"/>
      <c r="G79" s="2896"/>
      <c r="H79" s="2897"/>
      <c r="I79" s="2898">
        <f>I80+I82</f>
        <v>227.6</v>
      </c>
      <c r="J79" s="2899">
        <f>J80+J82</f>
        <v>227.6</v>
      </c>
      <c r="K79" s="2900">
        <f aca="true" t="shared" si="6" ref="K79:K87">J79/I79%</f>
        <v>100</v>
      </c>
      <c r="L79" s="218"/>
      <c r="M79" s="127"/>
      <c r="N79" s="127"/>
      <c r="O79" s="242"/>
    </row>
    <row r="80" spans="1:15" ht="146.25" customHeight="1">
      <c r="A80" s="134"/>
      <c r="B80" s="1163" t="s">
        <v>187</v>
      </c>
      <c r="C80" s="2901" t="str">
        <f>'Бюд.р.'!A288</f>
        <v>Ведомственная целевая программа  по осуществлению содействия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ЧС, а также содействия в информировании населения  об угрозе возникновения или возникновении чрезвычайной ситуации; по проведению подготовки и обучения неработающего населения способам защиты и действиям в чрезвычайных ситуациях, а так же способам защиты от опасностей, возникающих при ведении военных действий или вследствие этих действий</v>
      </c>
      <c r="D80" s="2893">
        <v>968</v>
      </c>
      <c r="E80" s="2902" t="s">
        <v>408</v>
      </c>
      <c r="F80" s="2895" t="str">
        <f>F81</f>
        <v>795 03 00</v>
      </c>
      <c r="G80" s="2896"/>
      <c r="H80" s="2897"/>
      <c r="I80" s="2898">
        <f>I81</f>
        <v>142</v>
      </c>
      <c r="J80" s="2899">
        <f>J81</f>
        <v>142</v>
      </c>
      <c r="K80" s="2900">
        <f t="shared" si="6"/>
        <v>100</v>
      </c>
      <c r="L80" s="218"/>
      <c r="M80" s="127"/>
      <c r="N80" s="127"/>
      <c r="O80" s="242"/>
    </row>
    <row r="81" spans="1:15" ht="24" customHeight="1">
      <c r="A81" s="135" t="s">
        <v>182</v>
      </c>
      <c r="B81" s="1168" t="s">
        <v>185</v>
      </c>
      <c r="C81" s="2831" t="str">
        <f>'Бюд.р.'!A289</f>
        <v>Закупка товаров, работ и услуг  для государственных (муниципальных) нужд</v>
      </c>
      <c r="D81" s="2809">
        <v>968</v>
      </c>
      <c r="E81" s="2903" t="s">
        <v>408</v>
      </c>
      <c r="F81" s="1585" t="str">
        <f>'Бюд.р.'!D288</f>
        <v>795 03 00</v>
      </c>
      <c r="G81" s="2810">
        <f>'Бюд.р.'!F289</f>
        <v>200</v>
      </c>
      <c r="H81" s="2812"/>
      <c r="I81" s="2904">
        <v>142</v>
      </c>
      <c r="J81" s="2884">
        <v>142</v>
      </c>
      <c r="K81" s="2905">
        <f t="shared" si="6"/>
        <v>100</v>
      </c>
      <c r="L81" s="219">
        <v>37.5</v>
      </c>
      <c r="M81" s="130">
        <v>288.6</v>
      </c>
      <c r="N81" s="130">
        <v>202</v>
      </c>
      <c r="O81" s="243">
        <v>33</v>
      </c>
    </row>
    <row r="82" spans="1:15" ht="58.5" customHeight="1">
      <c r="A82" s="133"/>
      <c r="B82" s="1163" t="s">
        <v>502</v>
      </c>
      <c r="C82" s="2808" t="str">
        <f>'Бюд.р.'!A309</f>
        <v>Ведомственная целевая программа   по участию в профилактике  терроризма и экстремизма, а также  минимизации и (или) ликвидации последствий проявления терроризма и экстремизма на территории МО </v>
      </c>
      <c r="D82" s="2791">
        <v>968</v>
      </c>
      <c r="E82" s="2906" t="s">
        <v>408</v>
      </c>
      <c r="F82" s="1582" t="str">
        <f>F83</f>
        <v>795 05 00</v>
      </c>
      <c r="G82" s="2792"/>
      <c r="H82" s="2793"/>
      <c r="I82" s="2793">
        <f>I83</f>
        <v>85.6</v>
      </c>
      <c r="J82" s="2794">
        <f>J83</f>
        <v>85.6</v>
      </c>
      <c r="K82" s="2795">
        <f t="shared" si="6"/>
        <v>100</v>
      </c>
      <c r="L82" s="220"/>
      <c r="M82" s="176"/>
      <c r="N82" s="176"/>
      <c r="O82" s="210"/>
    </row>
    <row r="83" spans="1:15" ht="24.75" customHeight="1" thickBot="1">
      <c r="A83" s="133"/>
      <c r="B83" s="1162" t="s">
        <v>185</v>
      </c>
      <c r="C83" s="2831" t="str">
        <f>'Бюд.р.'!A310</f>
        <v>Закупка товаров, работ и услуг  для государственных (муниципальных) нужд</v>
      </c>
      <c r="D83" s="2907" t="s">
        <v>591</v>
      </c>
      <c r="E83" s="2903" t="s">
        <v>408</v>
      </c>
      <c r="F83" s="2903" t="s">
        <v>15</v>
      </c>
      <c r="G83" s="2908">
        <f>'Бюд.р.'!F310</f>
        <v>200</v>
      </c>
      <c r="H83" s="2909"/>
      <c r="I83" s="2909">
        <v>85.6</v>
      </c>
      <c r="J83" s="2910">
        <v>85.6</v>
      </c>
      <c r="K83" s="2814">
        <f t="shared" si="6"/>
        <v>100</v>
      </c>
      <c r="L83" s="220"/>
      <c r="M83" s="176"/>
      <c r="N83" s="176"/>
      <c r="O83" s="210"/>
    </row>
    <row r="84" spans="1:15" ht="18" customHeight="1" thickBot="1">
      <c r="A84" s="133"/>
      <c r="B84" s="2411" t="s">
        <v>472</v>
      </c>
      <c r="C84" s="2782" t="str">
        <f>'Бюд.р.'!A315</f>
        <v>НАЦИОНАЛЬНАЯ ЭКОНОМИКА</v>
      </c>
      <c r="D84" s="2783">
        <v>968</v>
      </c>
      <c r="E84" s="2892" t="s">
        <v>829</v>
      </c>
      <c r="F84" s="2784"/>
      <c r="G84" s="2785"/>
      <c r="H84" s="2786"/>
      <c r="I84" s="2786">
        <f>I85+I88</f>
        <v>172.4</v>
      </c>
      <c r="J84" s="2787">
        <f>J85+J88</f>
        <v>172.4</v>
      </c>
      <c r="K84" s="2788">
        <f t="shared" si="6"/>
        <v>100</v>
      </c>
      <c r="L84" s="220"/>
      <c r="M84" s="176"/>
      <c r="N84" s="176"/>
      <c r="O84" s="210"/>
    </row>
    <row r="85" spans="1:15" ht="17.25" customHeight="1">
      <c r="A85" s="133"/>
      <c r="B85" s="2412" t="s">
        <v>1066</v>
      </c>
      <c r="C85" s="2789" t="str">
        <f>'Бюд.р.'!A316</f>
        <v>Общеэкономические вопросы</v>
      </c>
      <c r="D85" s="2893">
        <v>968</v>
      </c>
      <c r="E85" s="2894" t="s">
        <v>1240</v>
      </c>
      <c r="F85" s="2895"/>
      <c r="G85" s="2896"/>
      <c r="H85" s="2897"/>
      <c r="I85" s="2897">
        <f>I86</f>
        <v>152.4</v>
      </c>
      <c r="J85" s="2911">
        <f>J86</f>
        <v>152.4</v>
      </c>
      <c r="K85" s="2900">
        <f t="shared" si="6"/>
        <v>100</v>
      </c>
      <c r="L85" s="220"/>
      <c r="M85" s="176"/>
      <c r="N85" s="176"/>
      <c r="O85" s="210"/>
    </row>
    <row r="86" spans="1:15" ht="35.25" customHeight="1">
      <c r="A86" s="133"/>
      <c r="B86" s="1163" t="s">
        <v>195</v>
      </c>
      <c r="C86" s="2808" t="str">
        <f>'Бюд.р.'!A317</f>
        <v>ВРЕМЕННОЕ ТРУДОУСТРОЙСТВО НЕСОВЕРШЕННОЛЕТНИХ В ВОЗРАСТЕ ОТ 14 ДО 18 ЛЕТ В СВОБОДНОЕ ОТ УЧЕБЫ ВРЕМЯ</v>
      </c>
      <c r="D86" s="2791">
        <v>968</v>
      </c>
      <c r="E86" s="2369" t="s">
        <v>1240</v>
      </c>
      <c r="F86" s="1582" t="s">
        <v>867</v>
      </c>
      <c r="G86" s="2792"/>
      <c r="H86" s="2793"/>
      <c r="I86" s="2793">
        <f>I87</f>
        <v>152.4</v>
      </c>
      <c r="J86" s="2794">
        <f>J87</f>
        <v>152.4</v>
      </c>
      <c r="K86" s="2795">
        <f t="shared" si="6"/>
        <v>100</v>
      </c>
      <c r="L86" s="220"/>
      <c r="M86" s="176"/>
      <c r="N86" s="176"/>
      <c r="O86" s="210"/>
    </row>
    <row r="87" spans="1:15" ht="16.5" customHeight="1">
      <c r="A87" s="133"/>
      <c r="B87" s="1168" t="s">
        <v>185</v>
      </c>
      <c r="C87" s="2857" t="str">
        <f>'Бюд.р.'!A318</f>
        <v>Иные бюджетные ассигнования</v>
      </c>
      <c r="D87" s="2850">
        <v>968</v>
      </c>
      <c r="E87" s="2858" t="s">
        <v>1240</v>
      </c>
      <c r="F87" s="2851" t="s">
        <v>867</v>
      </c>
      <c r="G87" s="2852">
        <f>'Бюд.р.'!F318</f>
        <v>800</v>
      </c>
      <c r="H87" s="2854"/>
      <c r="I87" s="2854">
        <v>152.4</v>
      </c>
      <c r="J87" s="2855">
        <v>152.4</v>
      </c>
      <c r="K87" s="2814">
        <f t="shared" si="6"/>
        <v>100</v>
      </c>
      <c r="L87" s="220"/>
      <c r="M87" s="176"/>
      <c r="N87" s="176"/>
      <c r="O87" s="210"/>
    </row>
    <row r="88" spans="1:15" ht="26.25" customHeight="1">
      <c r="A88" s="133"/>
      <c r="B88" s="2418" t="s">
        <v>8</v>
      </c>
      <c r="C88" s="3027" t="str">
        <f>'Бюд.р.'!A327</f>
        <v>Другие вопросы в области национальной экономики</v>
      </c>
      <c r="D88" s="2791">
        <v>968</v>
      </c>
      <c r="E88" s="2369" t="s">
        <v>828</v>
      </c>
      <c r="F88" s="1582"/>
      <c r="G88" s="2792"/>
      <c r="H88" s="2793"/>
      <c r="I88" s="2877">
        <f>I89</f>
        <v>20</v>
      </c>
      <c r="J88" s="2878">
        <f>J89</f>
        <v>20</v>
      </c>
      <c r="K88" s="2795">
        <f>K89</f>
        <v>100</v>
      </c>
      <c r="L88" s="220"/>
      <c r="M88" s="176"/>
      <c r="N88" s="176"/>
      <c r="O88" s="210"/>
    </row>
    <row r="89" spans="1:15" ht="28.5" customHeight="1">
      <c r="A89" s="133"/>
      <c r="B89" s="1163" t="s">
        <v>9</v>
      </c>
      <c r="C89" s="2808" t="str">
        <f>'Бюд.р.'!A328</f>
        <v>Ведомственная целевая программа по содействия развитию малого бизнеса на территории МО</v>
      </c>
      <c r="D89" s="2791">
        <v>968</v>
      </c>
      <c r="E89" s="2895" t="s">
        <v>828</v>
      </c>
      <c r="F89" s="1582" t="str">
        <f>'Бюд.р.'!D328</f>
        <v>795 07 00</v>
      </c>
      <c r="G89" s="2792"/>
      <c r="H89" s="2793"/>
      <c r="I89" s="2877">
        <f>I90</f>
        <v>20</v>
      </c>
      <c r="J89" s="2878">
        <f>J90</f>
        <v>20</v>
      </c>
      <c r="K89" s="2795">
        <f>J89/I89%</f>
        <v>100</v>
      </c>
      <c r="L89" s="220"/>
      <c r="M89" s="176"/>
      <c r="N89" s="176"/>
      <c r="O89" s="210"/>
    </row>
    <row r="90" spans="1:15" ht="24.75" customHeight="1" thickBot="1">
      <c r="A90" s="133"/>
      <c r="B90" s="1162" t="s">
        <v>185</v>
      </c>
      <c r="C90" s="2831" t="str">
        <f>'Бюд.р.'!A329</f>
        <v>Закупка товаров, работ и услуг  для государственных (муниципальных) нужд</v>
      </c>
      <c r="D90" s="2850">
        <v>968</v>
      </c>
      <c r="E90" s="3028" t="s">
        <v>828</v>
      </c>
      <c r="F90" s="2851" t="str">
        <f>'Бюд.р.'!D329</f>
        <v>795 07 00</v>
      </c>
      <c r="G90" s="2852">
        <f>'Бюд.р.'!F329</f>
        <v>200</v>
      </c>
      <c r="H90" s="2854"/>
      <c r="I90" s="2914">
        <v>20</v>
      </c>
      <c r="J90" s="2915">
        <v>20</v>
      </c>
      <c r="K90" s="2814">
        <f>J90/I90%</f>
        <v>100</v>
      </c>
      <c r="L90" s="220"/>
      <c r="M90" s="176"/>
      <c r="N90" s="176"/>
      <c r="O90" s="210"/>
    </row>
    <row r="91" spans="1:15" ht="18.75" customHeight="1" thickBot="1">
      <c r="A91" s="133"/>
      <c r="B91" s="2411" t="s">
        <v>614</v>
      </c>
      <c r="C91" s="2931" t="str">
        <f>'Бюд.р.'!A333</f>
        <v>ЖИЛИЩНО-КОММУНАЛЬНОЕ ХОЗЯЙСТВО</v>
      </c>
      <c r="D91" s="2783">
        <v>968</v>
      </c>
      <c r="E91" s="2892" t="s">
        <v>394</v>
      </c>
      <c r="F91" s="2784"/>
      <c r="G91" s="2785"/>
      <c r="H91" s="2786"/>
      <c r="I91" s="2862">
        <f>I92</f>
        <v>51177.6</v>
      </c>
      <c r="J91" s="2863">
        <f>J92</f>
        <v>51177.6</v>
      </c>
      <c r="K91" s="2788">
        <f>J91/I91%</f>
        <v>100</v>
      </c>
      <c r="L91" s="220"/>
      <c r="M91" s="176"/>
      <c r="N91" s="176"/>
      <c r="O91" s="210"/>
    </row>
    <row r="92" spans="1:15" ht="18" customHeight="1">
      <c r="A92" s="133"/>
      <c r="B92" s="2959" t="s">
        <v>391</v>
      </c>
      <c r="C92" s="3029" t="str">
        <f>'Бюд.р.'!A334</f>
        <v>Благоустройство</v>
      </c>
      <c r="D92" s="2962">
        <v>968</v>
      </c>
      <c r="E92" s="2894" t="s">
        <v>396</v>
      </c>
      <c r="F92" s="2895"/>
      <c r="G92" s="2896"/>
      <c r="H92" s="2897"/>
      <c r="I92" s="2898">
        <f>I93+I96+I98+I100+I106+I108+I111+I115+I118+I120+I122</f>
        <v>51177.6</v>
      </c>
      <c r="J92" s="2899">
        <f>J93+J96+J98+J100+J106+J108+J111+J115+J118+J120+J122</f>
        <v>51177.6</v>
      </c>
      <c r="K92" s="2900">
        <f>J92/I92%</f>
        <v>100</v>
      </c>
      <c r="L92" s="220"/>
      <c r="M92" s="176"/>
      <c r="N92" s="176"/>
      <c r="O92" s="210"/>
    </row>
    <row r="93" spans="1:15" ht="34.5" customHeight="1">
      <c r="A93" s="134" t="s">
        <v>245</v>
      </c>
      <c r="B93" s="1628" t="s">
        <v>435</v>
      </c>
      <c r="C93" s="2965" t="str">
        <f>'Бюд.р.'!A336</f>
        <v>ТЕКУЩИЙ РЕМОНТ ПРИДОМОВЫХ ТЕРРИТОРИЙ И ДВОРОВЫХ ТЕРРИТОРИЙ , ВКЛЮЧАЯ ПРОЕЗДЫ И ВЪЕЗДЫ,ПЕШЕХОДНЫЕ ДОРОЖКИ</v>
      </c>
      <c r="D93" s="2956" t="s">
        <v>591</v>
      </c>
      <c r="E93" s="1582" t="s">
        <v>396</v>
      </c>
      <c r="F93" s="1582" t="s">
        <v>399</v>
      </c>
      <c r="G93" s="2792"/>
      <c r="H93" s="2793"/>
      <c r="I93" s="2793">
        <f>SUM(I94:I95)</f>
        <v>32868.3</v>
      </c>
      <c r="J93" s="2794">
        <f>SUM(J94:J95)</f>
        <v>32868.3</v>
      </c>
      <c r="K93" s="2795">
        <f>J93/I93%</f>
        <v>100</v>
      </c>
      <c r="L93" s="218">
        <f>SUM(L94:L94)</f>
        <v>0</v>
      </c>
      <c r="M93" s="127">
        <f>SUM(M94:M94)</f>
        <v>1764.8</v>
      </c>
      <c r="N93" s="127">
        <f>SUM(N94:N94)</f>
        <v>4118</v>
      </c>
      <c r="O93" s="242">
        <f>SUM(O94:O94)</f>
        <v>0</v>
      </c>
    </row>
    <row r="94" spans="1:15" ht="25.5" customHeight="1">
      <c r="A94" s="135" t="s">
        <v>182</v>
      </c>
      <c r="B94" s="1629" t="s">
        <v>185</v>
      </c>
      <c r="C94" s="1826" t="str">
        <f>'Бюд.р.'!A337</f>
        <v>Закупка товаров, работ и услуг  для государственных (муниципальных) нужд</v>
      </c>
      <c r="D94" s="1816" t="s">
        <v>591</v>
      </c>
      <c r="E94" s="1768" t="s">
        <v>396</v>
      </c>
      <c r="F94" s="1768" t="s">
        <v>399</v>
      </c>
      <c r="G94" s="2798">
        <f>'Бюд.р.'!F337</f>
        <v>200</v>
      </c>
      <c r="H94" s="2799"/>
      <c r="I94" s="2799">
        <v>32325.9</v>
      </c>
      <c r="J94" s="2800">
        <v>32325.9</v>
      </c>
      <c r="K94" s="2814">
        <f aca="true" t="shared" si="7" ref="K94:K157">J94/I94%</f>
        <v>100</v>
      </c>
      <c r="L94" s="219"/>
      <c r="M94" s="130">
        <v>1764.8</v>
      </c>
      <c r="N94" s="130">
        <v>4118</v>
      </c>
      <c r="O94" s="243"/>
    </row>
    <row r="95" spans="1:15" ht="13.5" customHeight="1">
      <c r="A95" s="135"/>
      <c r="B95" s="1629" t="s">
        <v>186</v>
      </c>
      <c r="C95" s="1826" t="str">
        <f>'Бюд.р.'!A342</f>
        <v>Иные бюджетные ассигнования</v>
      </c>
      <c r="D95" s="1816" t="s">
        <v>591</v>
      </c>
      <c r="E95" s="1768" t="s">
        <v>396</v>
      </c>
      <c r="F95" s="1768" t="s">
        <v>399</v>
      </c>
      <c r="G95" s="2798">
        <f>'Бюд.р.'!F342</f>
        <v>800</v>
      </c>
      <c r="H95" s="2799"/>
      <c r="I95" s="2799">
        <v>542.4</v>
      </c>
      <c r="J95" s="2800">
        <v>542.4</v>
      </c>
      <c r="K95" s="2814">
        <f t="shared" si="7"/>
        <v>100</v>
      </c>
      <c r="L95" s="219"/>
      <c r="M95" s="130"/>
      <c r="N95" s="130"/>
      <c r="O95" s="243"/>
    </row>
    <row r="96" spans="1:15" ht="24" customHeight="1">
      <c r="A96" s="149"/>
      <c r="B96" s="1628" t="s">
        <v>1174</v>
      </c>
      <c r="C96" s="2965" t="str">
        <f>'Бюд.р.'!A346</f>
        <v>ОРГАНИЗАЦИЯ ДОПОЛНИТЕЛЬНЫХ  ПАРКОВОЧНЫХ МЕСТ НА ДВОРОВЫХ ТЕРРИТОРИЯХ</v>
      </c>
      <c r="D96" s="2956" t="s">
        <v>591</v>
      </c>
      <c r="E96" s="1582" t="s">
        <v>396</v>
      </c>
      <c r="F96" s="1582" t="s">
        <v>400</v>
      </c>
      <c r="G96" s="2792"/>
      <c r="H96" s="2819"/>
      <c r="I96" s="2811">
        <f>I97</f>
        <v>369.7</v>
      </c>
      <c r="J96" s="2867">
        <f>J97</f>
        <v>369.7</v>
      </c>
      <c r="K96" s="2795">
        <f t="shared" si="7"/>
        <v>100</v>
      </c>
      <c r="L96" s="218">
        <f>L97</f>
        <v>0</v>
      </c>
      <c r="M96" s="127">
        <f>M97</f>
        <v>0</v>
      </c>
      <c r="N96" s="127">
        <f>N97</f>
        <v>0</v>
      </c>
      <c r="O96" s="242">
        <f>O97</f>
        <v>0</v>
      </c>
    </row>
    <row r="97" spans="1:15" ht="25.5" customHeight="1">
      <c r="A97" s="149"/>
      <c r="B97" s="1629" t="s">
        <v>185</v>
      </c>
      <c r="C97" s="1826" t="str">
        <f>'Бюд.р.'!A347</f>
        <v>Закупка товаров, работ и услуг  для государственных (муниципальных) нужд</v>
      </c>
      <c r="D97" s="1816" t="s">
        <v>591</v>
      </c>
      <c r="E97" s="1768" t="s">
        <v>396</v>
      </c>
      <c r="F97" s="1768" t="s">
        <v>400</v>
      </c>
      <c r="G97" s="2798">
        <f>'Бюд.р.'!F347</f>
        <v>200</v>
      </c>
      <c r="H97" s="2829"/>
      <c r="I97" s="2812">
        <v>369.7</v>
      </c>
      <c r="J97" s="2813">
        <v>369.7</v>
      </c>
      <c r="K97" s="2814">
        <f t="shared" si="7"/>
        <v>100</v>
      </c>
      <c r="L97" s="219">
        <v>0</v>
      </c>
      <c r="M97" s="130">
        <v>0</v>
      </c>
      <c r="N97" s="130">
        <v>0</v>
      </c>
      <c r="O97" s="243">
        <v>0</v>
      </c>
    </row>
    <row r="98" spans="1:15" ht="25.5" customHeight="1">
      <c r="A98" s="134" t="s">
        <v>442</v>
      </c>
      <c r="B98" s="1628" t="s">
        <v>1175</v>
      </c>
      <c r="C98" s="2966" t="str">
        <f>'Бюд.р.'!A351</f>
        <v>УСТАНОВКА,СОДЕРЖАНИЕ И РЕМОНТ ОГРАЖДЕНИЙ ГАЗОНОВ </v>
      </c>
      <c r="D98" s="2956" t="s">
        <v>591</v>
      </c>
      <c r="E98" s="1582" t="s">
        <v>396</v>
      </c>
      <c r="F98" s="1582" t="s">
        <v>401</v>
      </c>
      <c r="G98" s="2792"/>
      <c r="H98" s="2793"/>
      <c r="I98" s="2793">
        <f>I99</f>
        <v>2318.2</v>
      </c>
      <c r="J98" s="2794">
        <f>J99</f>
        <v>2318.2</v>
      </c>
      <c r="K98" s="2795">
        <f t="shared" si="7"/>
        <v>100</v>
      </c>
      <c r="L98" s="218">
        <f>SUM(L99:L99)</f>
        <v>0</v>
      </c>
      <c r="M98" s="127">
        <f>SUM(M99:M99)</f>
        <v>1096.9</v>
      </c>
      <c r="N98" s="127">
        <f>SUM(N99:N99)</f>
        <v>2596.1</v>
      </c>
      <c r="O98" s="242">
        <f>SUM(O99:O99)</f>
        <v>0</v>
      </c>
    </row>
    <row r="99" spans="1:15" ht="24" customHeight="1">
      <c r="A99" s="134"/>
      <c r="B99" s="1629" t="s">
        <v>185</v>
      </c>
      <c r="C99" s="1826" t="str">
        <f>'Бюд.р.'!A352</f>
        <v>Закупка товаров, работ и услуг  для государственных (муниципальных) нужд</v>
      </c>
      <c r="D99" s="1816" t="s">
        <v>591</v>
      </c>
      <c r="E99" s="1768" t="s">
        <v>396</v>
      </c>
      <c r="F99" s="1768" t="s">
        <v>401</v>
      </c>
      <c r="G99" s="2798">
        <f>'Бюд.р.'!F352</f>
        <v>200</v>
      </c>
      <c r="H99" s="2912"/>
      <c r="I99" s="2812">
        <v>2318.2</v>
      </c>
      <c r="J99" s="2813">
        <v>2318.2</v>
      </c>
      <c r="K99" s="2814">
        <f t="shared" si="7"/>
        <v>100</v>
      </c>
      <c r="L99" s="219">
        <v>0</v>
      </c>
      <c r="M99" s="130">
        <v>1096.9</v>
      </c>
      <c r="N99" s="130">
        <v>2596.1</v>
      </c>
      <c r="O99" s="243">
        <v>0</v>
      </c>
    </row>
    <row r="100" spans="1:15" ht="45.75" customHeight="1">
      <c r="A100" s="134"/>
      <c r="B100" s="1628" t="s">
        <v>1176</v>
      </c>
      <c r="C100" s="2966" t="str">
        <f>'Бюд.р.'!A362</f>
        <v>УСТАНОВКА И СОДЕРЖАНИЕ МАЛЫХ АРХИТЕКТУРНЫХ ФОРМ, УЛИЧНОЙ МЕБЕЛИ И ХОЗЯЙСТВЕННОГО-БЫТОВОГО ОБОРУДОВАНИЯ, НЕОБХОДИМОГО ДЛЯ БЛАГОУСТРОЙСТВА ТЕРРИТОРИИ МО</v>
      </c>
      <c r="D100" s="2956" t="s">
        <v>591</v>
      </c>
      <c r="E100" s="1582" t="s">
        <v>396</v>
      </c>
      <c r="F100" s="1582" t="s">
        <v>403</v>
      </c>
      <c r="G100" s="2792"/>
      <c r="H100" s="2793"/>
      <c r="I100" s="2793">
        <f>I101</f>
        <v>1634.7</v>
      </c>
      <c r="J100" s="2794">
        <f>J101</f>
        <v>1634.7</v>
      </c>
      <c r="K100" s="2795">
        <f t="shared" si="7"/>
        <v>100</v>
      </c>
      <c r="L100" s="218">
        <f>L101</f>
        <v>0</v>
      </c>
      <c r="M100" s="127">
        <f>M101</f>
        <v>0</v>
      </c>
      <c r="N100" s="127">
        <f>N101</f>
        <v>300</v>
      </c>
      <c r="O100" s="242">
        <f>O101</f>
        <v>0</v>
      </c>
    </row>
    <row r="101" spans="1:15" ht="24" customHeight="1">
      <c r="A101" s="134"/>
      <c r="B101" s="1638" t="s">
        <v>185</v>
      </c>
      <c r="C101" s="1826" t="str">
        <f>'Бюд.р.'!A363</f>
        <v>Закупка товаров, работ и услуг  для государственных (муниципальных) нужд</v>
      </c>
      <c r="D101" s="1816" t="s">
        <v>591</v>
      </c>
      <c r="E101" s="1768" t="s">
        <v>396</v>
      </c>
      <c r="F101" s="1768" t="s">
        <v>403</v>
      </c>
      <c r="G101" s="2798">
        <f>'Бюд.р.'!F363</f>
        <v>200</v>
      </c>
      <c r="H101" s="2912"/>
      <c r="I101" s="2812">
        <v>1634.7</v>
      </c>
      <c r="J101" s="2813">
        <v>1634.7</v>
      </c>
      <c r="K101" s="2814">
        <f t="shared" si="7"/>
        <v>100</v>
      </c>
      <c r="L101" s="219">
        <v>0</v>
      </c>
      <c r="M101" s="130">
        <v>0</v>
      </c>
      <c r="N101" s="130">
        <v>300</v>
      </c>
      <c r="O101" s="243">
        <v>0</v>
      </c>
    </row>
    <row r="102" spans="1:15" ht="22.5" customHeight="1" hidden="1">
      <c r="A102" s="134" t="s">
        <v>654</v>
      </c>
      <c r="B102" s="2960"/>
      <c r="C102" s="2966" t="str">
        <f>'Бюд.р.'!A371</f>
        <v>ОБОРУДОВАНИЕ КОНТЕЙНЕРНЫХ ПЛОЩАДОК НА ТЕРРИТОРИЯХ ДВОРОВ</v>
      </c>
      <c r="D102" s="2963" t="s">
        <v>591</v>
      </c>
      <c r="E102" s="1604" t="s">
        <v>396</v>
      </c>
      <c r="F102" s="1604" t="s">
        <v>464</v>
      </c>
      <c r="G102" s="2872"/>
      <c r="H102" s="2912"/>
      <c r="I102" s="2912"/>
      <c r="J102" s="2917"/>
      <c r="K102" s="2795" t="e">
        <f t="shared" si="7"/>
        <v>#DIV/0!</v>
      </c>
      <c r="L102" s="218">
        <f>L103</f>
        <v>0</v>
      </c>
      <c r="M102" s="127">
        <f>M103</f>
        <v>1087.1</v>
      </c>
      <c r="N102" s="127">
        <f>N103</f>
        <v>1666</v>
      </c>
      <c r="O102" s="242">
        <f>O103</f>
        <v>0</v>
      </c>
    </row>
    <row r="103" spans="1:15" ht="24" customHeight="1" hidden="1">
      <c r="A103" s="50" t="s">
        <v>655</v>
      </c>
      <c r="B103" s="2960"/>
      <c r="C103" s="1826" t="str">
        <f>'Бюд.р.'!A372</f>
        <v>Закупка товаров, работ и услуг  для государственных (муниципальных) нужд</v>
      </c>
      <c r="D103" s="1816" t="s">
        <v>591</v>
      </c>
      <c r="E103" s="1768" t="s">
        <v>396</v>
      </c>
      <c r="F103" s="1768" t="s">
        <v>464</v>
      </c>
      <c r="G103" s="2798">
        <f>'Бюд.р.'!F372</f>
        <v>200</v>
      </c>
      <c r="H103" s="2799"/>
      <c r="I103" s="2799"/>
      <c r="J103" s="2800"/>
      <c r="K103" s="2795" t="e">
        <f t="shared" si="7"/>
        <v>#DIV/0!</v>
      </c>
      <c r="L103" s="219">
        <v>0</v>
      </c>
      <c r="M103" s="130">
        <v>1087.1</v>
      </c>
      <c r="N103" s="130">
        <v>1666</v>
      </c>
      <c r="O103" s="243">
        <v>0</v>
      </c>
    </row>
    <row r="104" spans="1:15" ht="24" hidden="1">
      <c r="A104" s="134" t="s">
        <v>657</v>
      </c>
      <c r="B104" s="1628"/>
      <c r="C104" s="2965" t="s">
        <v>465</v>
      </c>
      <c r="D104" s="2963" t="s">
        <v>591</v>
      </c>
      <c r="E104" s="1604" t="s">
        <v>396</v>
      </c>
      <c r="F104" s="1604" t="s">
        <v>376</v>
      </c>
      <c r="G104" s="2872"/>
      <c r="H104" s="2912"/>
      <c r="I104" s="2912"/>
      <c r="J104" s="2917"/>
      <c r="K104" s="2795" t="e">
        <f t="shared" si="7"/>
        <v>#DIV/0!</v>
      </c>
      <c r="L104" s="218">
        <f>L105</f>
        <v>0</v>
      </c>
      <c r="M104" s="127">
        <f>M105</f>
        <v>500</v>
      </c>
      <c r="N104" s="127">
        <f>N105</f>
        <v>300</v>
      </c>
      <c r="O104" s="242">
        <f>O105</f>
        <v>0</v>
      </c>
    </row>
    <row r="105" spans="1:15" ht="14.25" customHeight="1" hidden="1">
      <c r="A105" s="50" t="s">
        <v>658</v>
      </c>
      <c r="B105" s="1638"/>
      <c r="C105" s="1826" t="str">
        <f>'Бюд.р.'!A379</f>
        <v>Прочая закупка товаров, работ и услуг для муниципальных нужд</v>
      </c>
      <c r="D105" s="1816" t="s">
        <v>591</v>
      </c>
      <c r="E105" s="1768" t="s">
        <v>396</v>
      </c>
      <c r="F105" s="1768" t="s">
        <v>376</v>
      </c>
      <c r="G105" s="2798">
        <f>'Бюд.р.'!F379</f>
        <v>244</v>
      </c>
      <c r="H105" s="2799"/>
      <c r="I105" s="2799"/>
      <c r="J105" s="2800"/>
      <c r="K105" s="2795" t="e">
        <f t="shared" si="7"/>
        <v>#DIV/0!</v>
      </c>
      <c r="L105" s="219">
        <v>0</v>
      </c>
      <c r="M105" s="130">
        <v>500</v>
      </c>
      <c r="N105" s="130">
        <v>300</v>
      </c>
      <c r="O105" s="243">
        <v>0</v>
      </c>
    </row>
    <row r="106" spans="1:15" ht="33.75">
      <c r="A106" s="202"/>
      <c r="B106" s="1639" t="s">
        <v>1177</v>
      </c>
      <c r="C106" s="2965" t="str">
        <f>'Бюд.р.'!A382</f>
        <v>ЛИКВИДАЦИЯ НЕСАНКЦИОНИРОВАННЫХ СВАЛОК БЫТОВЫХ ОТХОДОВ, МУСОРА, УБОРКА ТЕРРИТОРИЙ, ВОДНЫХ АКВАТОРИЙ, ТУПИКОВ И ПРОЕЗДОВ</v>
      </c>
      <c r="D106" s="2956" t="s">
        <v>591</v>
      </c>
      <c r="E106" s="1582" t="s">
        <v>396</v>
      </c>
      <c r="F106" s="1582" t="s">
        <v>956</v>
      </c>
      <c r="G106" s="2792"/>
      <c r="H106" s="2819"/>
      <c r="I106" s="2811">
        <f>I107</f>
        <v>198.2</v>
      </c>
      <c r="J106" s="2867">
        <f>J107</f>
        <v>198.2</v>
      </c>
      <c r="K106" s="2795">
        <f t="shared" si="7"/>
        <v>100</v>
      </c>
      <c r="L106" s="218">
        <f>L107</f>
        <v>0</v>
      </c>
      <c r="M106" s="127">
        <f>M107</f>
        <v>500</v>
      </c>
      <c r="N106" s="127">
        <f>N107</f>
        <v>297.6</v>
      </c>
      <c r="O106" s="242">
        <f>O107</f>
        <v>0</v>
      </c>
    </row>
    <row r="107" spans="1:15" ht="25.5" customHeight="1">
      <c r="A107" s="202"/>
      <c r="B107" s="1640" t="s">
        <v>185</v>
      </c>
      <c r="C107" s="1826" t="str">
        <f>'Бюд.р.'!A383</f>
        <v>Закупка товаров, работ и услуг  для государственных (муниципальных) нужд</v>
      </c>
      <c r="D107" s="1816" t="s">
        <v>591</v>
      </c>
      <c r="E107" s="1768" t="s">
        <v>396</v>
      </c>
      <c r="F107" s="1768" t="s">
        <v>956</v>
      </c>
      <c r="G107" s="2798">
        <f>'Бюд.р.'!F383</f>
        <v>200</v>
      </c>
      <c r="H107" s="2829"/>
      <c r="I107" s="2812">
        <v>198.2</v>
      </c>
      <c r="J107" s="2813">
        <v>198.2</v>
      </c>
      <c r="K107" s="2814">
        <f t="shared" si="7"/>
        <v>100</v>
      </c>
      <c r="L107" s="219">
        <v>0</v>
      </c>
      <c r="M107" s="130">
        <v>500</v>
      </c>
      <c r="N107" s="130">
        <v>297.6</v>
      </c>
      <c r="O107" s="243">
        <v>0</v>
      </c>
    </row>
    <row r="108" spans="1:15" ht="39" customHeight="1">
      <c r="A108" s="202"/>
      <c r="B108" s="1639" t="s">
        <v>1178</v>
      </c>
      <c r="C108" s="2967" t="str">
        <f>'Бюд.р.'!A391</f>
        <v>ОЗЕЛЕНЕНИЕ , СОДЕРЖАНИЕ И РЕМОНТ ТЕРРИТОРИЙ  ЗЕЛЕНЫХ НАСАЖДЕНИЙ ВНУТРИКВАРТАЛЬНОГО ОЗЕЛЕНЕНИЯ, КОМПЕНСАЦИОННОЕ ОЗЕЛЕНЕНИЕ</v>
      </c>
      <c r="D108" s="2956" t="s">
        <v>591</v>
      </c>
      <c r="E108" s="1582" t="s">
        <v>396</v>
      </c>
      <c r="F108" s="1582" t="s">
        <v>659</v>
      </c>
      <c r="G108" s="2792"/>
      <c r="H108" s="2819"/>
      <c r="I108" s="2918">
        <f>I109</f>
        <v>7298</v>
      </c>
      <c r="J108" s="2886">
        <f>J109</f>
        <v>7298</v>
      </c>
      <c r="K108" s="2795">
        <f t="shared" si="7"/>
        <v>100</v>
      </c>
      <c r="L108" s="218">
        <f>SUM(L109:L110)</f>
        <v>0</v>
      </c>
      <c r="M108" s="127">
        <f>SUM(M109:M110)</f>
        <v>3963.7</v>
      </c>
      <c r="N108" s="127">
        <f>SUM(N109:N110)</f>
        <v>7464.6</v>
      </c>
      <c r="O108" s="242">
        <f>SUM(O109:O110)</f>
        <v>0</v>
      </c>
    </row>
    <row r="109" spans="1:15" ht="24.75" customHeight="1" thickBot="1">
      <c r="A109" s="202"/>
      <c r="B109" s="1640" t="s">
        <v>185</v>
      </c>
      <c r="C109" s="1826" t="str">
        <f>'Бюд.р.'!A392</f>
        <v>Закупка товаров, работ и услуг  для государственных (муниципальных) нужд</v>
      </c>
      <c r="D109" s="1816" t="s">
        <v>591</v>
      </c>
      <c r="E109" s="1768" t="s">
        <v>396</v>
      </c>
      <c r="F109" s="1768" t="s">
        <v>659</v>
      </c>
      <c r="G109" s="2798">
        <f>'Бюд.р.'!F392</f>
        <v>200</v>
      </c>
      <c r="H109" s="2829"/>
      <c r="I109" s="2904">
        <v>7298</v>
      </c>
      <c r="J109" s="2884">
        <v>7298</v>
      </c>
      <c r="K109" s="2814">
        <f t="shared" si="7"/>
        <v>100</v>
      </c>
      <c r="L109" s="219">
        <v>0</v>
      </c>
      <c r="M109" s="130">
        <v>2852.2</v>
      </c>
      <c r="N109" s="130">
        <v>4871.1</v>
      </c>
      <c r="O109" s="243">
        <v>0</v>
      </c>
    </row>
    <row r="110" spans="1:15" ht="36" customHeight="1" hidden="1" thickBot="1">
      <c r="A110" s="202"/>
      <c r="B110" s="1640"/>
      <c r="C110" s="1822" t="s">
        <v>733</v>
      </c>
      <c r="D110" s="1816" t="s">
        <v>591</v>
      </c>
      <c r="E110" s="1768" t="s">
        <v>396</v>
      </c>
      <c r="F110" s="1768" t="s">
        <v>659</v>
      </c>
      <c r="G110" s="2798" t="s">
        <v>462</v>
      </c>
      <c r="H110" s="2829"/>
      <c r="I110" s="2829"/>
      <c r="J110" s="2830"/>
      <c r="K110" s="2795" t="e">
        <f t="shared" si="7"/>
        <v>#DIV/0!</v>
      </c>
      <c r="L110" s="219">
        <v>0</v>
      </c>
      <c r="M110" s="130">
        <v>1111.5</v>
      </c>
      <c r="N110" s="130">
        <v>2593.5</v>
      </c>
      <c r="O110" s="243">
        <v>0</v>
      </c>
    </row>
    <row r="111" spans="1:15" ht="50.25" customHeight="1">
      <c r="A111" s="152" t="s">
        <v>605</v>
      </c>
      <c r="B111" s="1628" t="s">
        <v>1179</v>
      </c>
      <c r="C111" s="2967" t="str">
        <f>'Бюд.р.'!A401</f>
        <v>ПРОВЕДЕНИЕ САНИТАРНЫХ РУБОК, УДАЛЕНИЕ АВАРИЙНЫХ, БОЛЬНЫХ ДЕРЕВЬЕВ И КУСТАРНИКОВ В ОТНОШЕНИИ ЗЕЛЕНЫХ НАСАЖДЕНИЙ ВНУТРИКВАРТАЛЬНОГО ОЗЕЛЕНЕНИЯ</v>
      </c>
      <c r="D111" s="2956" t="s">
        <v>591</v>
      </c>
      <c r="E111" s="1582" t="s">
        <v>396</v>
      </c>
      <c r="F111" s="1582" t="s">
        <v>662</v>
      </c>
      <c r="G111" s="2792"/>
      <c r="H111" s="2793"/>
      <c r="I111" s="2793">
        <f>I112</f>
        <v>296.9</v>
      </c>
      <c r="J111" s="2794">
        <f>J112</f>
        <v>296.9</v>
      </c>
      <c r="K111" s="2795">
        <f t="shared" si="7"/>
        <v>100</v>
      </c>
      <c r="L111" s="218">
        <f>L112</f>
        <v>0</v>
      </c>
      <c r="M111" s="127">
        <f>M112</f>
        <v>357.1</v>
      </c>
      <c r="N111" s="127">
        <f>N112</f>
        <v>560.5</v>
      </c>
      <c r="O111" s="242">
        <f>O112</f>
        <v>0</v>
      </c>
    </row>
    <row r="112" spans="1:15" ht="25.5" customHeight="1">
      <c r="A112" s="50" t="s">
        <v>606</v>
      </c>
      <c r="B112" s="1638" t="s">
        <v>185</v>
      </c>
      <c r="C112" s="1826" t="str">
        <f>'Бюд.р.'!A402</f>
        <v>Закупка товаров, работ и услуг  для государственных (муниципальных) нужд</v>
      </c>
      <c r="D112" s="1816" t="s">
        <v>591</v>
      </c>
      <c r="E112" s="1768" t="s">
        <v>396</v>
      </c>
      <c r="F112" s="1768" t="s">
        <v>662</v>
      </c>
      <c r="G112" s="2798">
        <f>'Бюд.р.'!F402</f>
        <v>200</v>
      </c>
      <c r="H112" s="2799"/>
      <c r="I112" s="2799">
        <v>296.9</v>
      </c>
      <c r="J112" s="2800">
        <v>296.9</v>
      </c>
      <c r="K112" s="2814">
        <f t="shared" si="7"/>
        <v>100</v>
      </c>
      <c r="L112" s="219">
        <v>0</v>
      </c>
      <c r="M112" s="130">
        <v>357.1</v>
      </c>
      <c r="N112" s="130">
        <v>560.5</v>
      </c>
      <c r="O112" s="243">
        <v>0</v>
      </c>
    </row>
    <row r="113" spans="1:15" ht="33.75" customHeight="1" hidden="1">
      <c r="A113" s="1097"/>
      <c r="B113" s="1912" t="s">
        <v>1163</v>
      </c>
      <c r="C113" s="2967" t="s">
        <v>977</v>
      </c>
      <c r="D113" s="2956">
        <v>968</v>
      </c>
      <c r="E113" s="1604" t="s">
        <v>396</v>
      </c>
      <c r="F113" s="1582" t="str">
        <f>F114</f>
        <v>600 03 04</v>
      </c>
      <c r="G113" s="2919"/>
      <c r="H113" s="2799"/>
      <c r="I113" s="2799"/>
      <c r="J113" s="2800"/>
      <c r="K113" s="2795" t="e">
        <f t="shared" si="7"/>
        <v>#DIV/0!</v>
      </c>
      <c r="L113" s="219"/>
      <c r="M113" s="130"/>
      <c r="N113" s="130"/>
      <c r="O113" s="243"/>
    </row>
    <row r="114" spans="1:15" ht="26.25" customHeight="1" hidden="1">
      <c r="A114" s="1097"/>
      <c r="B114" s="1638" t="s">
        <v>1164</v>
      </c>
      <c r="C114" s="1826" t="str">
        <f>'Бюд.р.'!A409</f>
        <v>Закупка товаров, работ и услуг  для государственных (муниципальных) нужд</v>
      </c>
      <c r="D114" s="1816" t="s">
        <v>591</v>
      </c>
      <c r="E114" s="1768" t="s">
        <v>396</v>
      </c>
      <c r="F114" s="1768" t="s">
        <v>976</v>
      </c>
      <c r="G114" s="2798">
        <f>'Бюд.р.'!F409</f>
        <v>200</v>
      </c>
      <c r="H114" s="2920"/>
      <c r="I114" s="2920"/>
      <c r="J114" s="2921"/>
      <c r="K114" s="2795" t="e">
        <f t="shared" si="7"/>
        <v>#DIV/0!</v>
      </c>
      <c r="L114" s="219"/>
      <c r="M114" s="130"/>
      <c r="N114" s="130"/>
      <c r="O114" s="243"/>
    </row>
    <row r="115" spans="1:15" ht="22.5">
      <c r="A115" s="153"/>
      <c r="B115" s="1639" t="s">
        <v>1180</v>
      </c>
      <c r="C115" s="2967" t="str">
        <f>'Бюд.р.'!A413</f>
        <v>ОРГАНИЗАЦИЯ УЧЕТА ЗЕЛЕНЫХ НАСАЖДЕНИЙ ВНУТРИКВАРТАЛЬНОГО ОЗЕЛЕНЕНИЯ </v>
      </c>
      <c r="D115" s="2956">
        <v>968</v>
      </c>
      <c r="E115" s="1582" t="s">
        <v>396</v>
      </c>
      <c r="F115" s="1582" t="str">
        <f>F116</f>
        <v>600 03 05</v>
      </c>
      <c r="G115" s="2922"/>
      <c r="H115" s="2880"/>
      <c r="I115" s="2923">
        <f>I116</f>
        <v>150</v>
      </c>
      <c r="J115" s="2372">
        <f>J116</f>
        <v>150</v>
      </c>
      <c r="K115" s="2795">
        <f t="shared" si="7"/>
        <v>100</v>
      </c>
      <c r="L115" s="220"/>
      <c r="M115" s="176"/>
      <c r="N115" s="176"/>
      <c r="O115" s="210"/>
    </row>
    <row r="116" spans="1:15" ht="27" customHeight="1">
      <c r="A116" s="153"/>
      <c r="B116" s="1638" t="s">
        <v>185</v>
      </c>
      <c r="C116" s="1826" t="str">
        <f>'Бюд.р.'!A414</f>
        <v>Закупка товаров, работ и услуг  для государственных (муниципальных) нужд</v>
      </c>
      <c r="D116" s="1816" t="s">
        <v>591</v>
      </c>
      <c r="E116" s="1768" t="s">
        <v>396</v>
      </c>
      <c r="F116" s="1768" t="s">
        <v>959</v>
      </c>
      <c r="G116" s="2798">
        <f>'Бюд.р.'!F414</f>
        <v>200</v>
      </c>
      <c r="H116" s="2920"/>
      <c r="I116" s="2924">
        <v>150</v>
      </c>
      <c r="J116" s="1771">
        <v>150</v>
      </c>
      <c r="K116" s="2814">
        <f t="shared" si="7"/>
        <v>100</v>
      </c>
      <c r="L116" s="220"/>
      <c r="M116" s="176"/>
      <c r="N116" s="176"/>
      <c r="O116" s="210"/>
    </row>
    <row r="117" spans="1:15" ht="12.75" customHeight="1" hidden="1">
      <c r="A117" s="153"/>
      <c r="B117" s="2961"/>
      <c r="C117" s="2965" t="s">
        <v>961</v>
      </c>
      <c r="D117" s="2964" t="s">
        <v>591</v>
      </c>
      <c r="E117" s="1513" t="s">
        <v>396</v>
      </c>
      <c r="F117" s="1513" t="s">
        <v>663</v>
      </c>
      <c r="G117" s="2925"/>
      <c r="H117" s="2920"/>
      <c r="I117" s="2920"/>
      <c r="J117" s="2921"/>
      <c r="K117" s="2795" t="e">
        <f t="shared" si="7"/>
        <v>#DIV/0!</v>
      </c>
      <c r="L117" s="94" t="e">
        <f>#REF!+#REF!</f>
        <v>#REF!</v>
      </c>
      <c r="M117" s="92" t="e">
        <f>#REF!+#REF!</f>
        <v>#REF!</v>
      </c>
      <c r="N117" s="92" t="e">
        <f>#REF!+#REF!</f>
        <v>#REF!</v>
      </c>
      <c r="O117" s="211" t="e">
        <f>#REF!+#REF!</f>
        <v>#REF!</v>
      </c>
    </row>
    <row r="118" spans="1:15" ht="33" customHeight="1">
      <c r="A118" s="153"/>
      <c r="B118" s="1639" t="s">
        <v>1181</v>
      </c>
      <c r="C118" s="2967" t="str">
        <f>'Бюд.р.'!A419</f>
        <v>СОЗДАНИЕ ЗОН ОТДЫХА, В ТОМ ЧИСЛЕ ОБУСТРОЙСТВО, СОДЕРЖАНИЕ И УБОРКА ТЕРРИТОРИЙ ДЕТСКИХ ПЛОЩАДОК</v>
      </c>
      <c r="D118" s="2956" t="s">
        <v>591</v>
      </c>
      <c r="E118" s="1582" t="s">
        <v>396</v>
      </c>
      <c r="F118" s="1582" t="s">
        <v>664</v>
      </c>
      <c r="G118" s="2922"/>
      <c r="H118" s="2880"/>
      <c r="I118" s="2880">
        <f>I119</f>
        <v>4108.8</v>
      </c>
      <c r="J118" s="2881">
        <f>J119</f>
        <v>4108.8</v>
      </c>
      <c r="K118" s="2795">
        <f t="shared" si="7"/>
        <v>100</v>
      </c>
      <c r="L118" s="218">
        <f>L119</f>
        <v>0</v>
      </c>
      <c r="M118" s="127">
        <f>M119</f>
        <v>0</v>
      </c>
      <c r="N118" s="127">
        <f>N119</f>
        <v>0</v>
      </c>
      <c r="O118" s="242">
        <f>O119</f>
        <v>0</v>
      </c>
    </row>
    <row r="119" spans="1:15" ht="25.5" customHeight="1">
      <c r="A119" s="153"/>
      <c r="B119" s="1638" t="s">
        <v>185</v>
      </c>
      <c r="C119" s="1826" t="str">
        <f>'Бюд.р.'!A420</f>
        <v>Закупка товаров, работ и услуг  для государственных (муниципальных) нужд</v>
      </c>
      <c r="D119" s="1816" t="s">
        <v>591</v>
      </c>
      <c r="E119" s="1768" t="s">
        <v>396</v>
      </c>
      <c r="F119" s="1768" t="s">
        <v>664</v>
      </c>
      <c r="G119" s="2798">
        <f>'Бюд.р.'!F420</f>
        <v>200</v>
      </c>
      <c r="H119" s="2920"/>
      <c r="I119" s="2926">
        <v>4108.8</v>
      </c>
      <c r="J119" s="2927">
        <v>4108.8</v>
      </c>
      <c r="K119" s="2814">
        <f t="shared" si="7"/>
        <v>100</v>
      </c>
      <c r="L119" s="219">
        <v>0</v>
      </c>
      <c r="M119" s="130">
        <v>0</v>
      </c>
      <c r="N119" s="130">
        <v>0</v>
      </c>
      <c r="O119" s="243">
        <v>0</v>
      </c>
    </row>
    <row r="120" spans="1:15" ht="23.25" customHeight="1">
      <c r="A120" s="153"/>
      <c r="B120" s="1639" t="s">
        <v>1182</v>
      </c>
      <c r="C120" s="2967" t="str">
        <f>'Бюд.р.'!A427</f>
        <v>ОБУСТРОЙСТВО, СОДЕРЖАНИЕ И УБОРКА ТЕРРИТОРИЙ СПОРТИВНЫХ ПЛОЩАДОК</v>
      </c>
      <c r="D120" s="2956" t="s">
        <v>591</v>
      </c>
      <c r="E120" s="1582" t="s">
        <v>396</v>
      </c>
      <c r="F120" s="1582" t="s">
        <v>681</v>
      </c>
      <c r="G120" s="2922"/>
      <c r="H120" s="2880"/>
      <c r="I120" s="2880">
        <f>I121</f>
        <v>1134.8</v>
      </c>
      <c r="J120" s="2881">
        <f>J121</f>
        <v>1134.8</v>
      </c>
      <c r="K120" s="2795">
        <f t="shared" si="7"/>
        <v>100</v>
      </c>
      <c r="L120" s="219"/>
      <c r="M120" s="130"/>
      <c r="N120" s="130"/>
      <c r="O120" s="243"/>
    </row>
    <row r="121" spans="1:15" ht="24.75" customHeight="1">
      <c r="A121" s="153"/>
      <c r="B121" s="1638" t="s">
        <v>185</v>
      </c>
      <c r="C121" s="1826" t="str">
        <f>'Бюд.р.'!A428</f>
        <v>Закупка товаров, работ и услуг  для государственных (муниципальных) нужд</v>
      </c>
      <c r="D121" s="1816" t="s">
        <v>591</v>
      </c>
      <c r="E121" s="1768" t="s">
        <v>396</v>
      </c>
      <c r="F121" s="1768" t="s">
        <v>681</v>
      </c>
      <c r="G121" s="2798">
        <f>'Бюд.р.'!F428</f>
        <v>200</v>
      </c>
      <c r="H121" s="2920"/>
      <c r="I121" s="2926">
        <v>1134.8</v>
      </c>
      <c r="J121" s="2927">
        <v>1134.8</v>
      </c>
      <c r="K121" s="2814">
        <f t="shared" si="7"/>
        <v>100</v>
      </c>
      <c r="L121" s="219"/>
      <c r="M121" s="130"/>
      <c r="N121" s="130"/>
      <c r="O121" s="243"/>
    </row>
    <row r="122" spans="1:15" ht="35.25" customHeight="1">
      <c r="A122" s="153"/>
      <c r="B122" s="2955" t="s">
        <v>1402</v>
      </c>
      <c r="C122" s="2968" t="str">
        <f>Пцс!B47</f>
        <v>ВЫПОЛНЕНИЕ ОФОРМЛЕНИЯ К ПРАЗДНИЧНЫМ МЕРОПРИЯТИЯМ НА ТЕРРИТОРИИ МУНИЦИПАЛЬНОГО ОБРАЗОВАНИЯ</v>
      </c>
      <c r="D122" s="2956" t="s">
        <v>591</v>
      </c>
      <c r="E122" s="1582" t="s">
        <v>396</v>
      </c>
      <c r="F122" s="1582" t="str">
        <f>F123</f>
        <v>600 04 03</v>
      </c>
      <c r="G122" s="2922"/>
      <c r="H122" s="2880"/>
      <c r="I122" s="2923">
        <f>I123</f>
        <v>800</v>
      </c>
      <c r="J122" s="2372">
        <f>J123</f>
        <v>800</v>
      </c>
      <c r="K122" s="2795">
        <f t="shared" si="7"/>
        <v>100</v>
      </c>
      <c r="L122" s="219"/>
      <c r="M122" s="130"/>
      <c r="N122" s="130"/>
      <c r="O122" s="243"/>
    </row>
    <row r="123" spans="1:15" ht="24.75" customHeight="1" thickBot="1">
      <c r="A123" s="153"/>
      <c r="B123" s="1645" t="s">
        <v>185</v>
      </c>
      <c r="C123" s="2969" t="str">
        <f>'Бюд.р.'!A433</f>
        <v>Закупка товаров, работ и услуг  для государственных (муниципальных) нужд</v>
      </c>
      <c r="D123" s="2957" t="s">
        <v>591</v>
      </c>
      <c r="E123" s="2903" t="s">
        <v>396</v>
      </c>
      <c r="F123" s="2903" t="str">
        <f>Пцс!C47</f>
        <v>600 04 03</v>
      </c>
      <c r="G123" s="2908">
        <f>'Бюд.р.'!F433</f>
        <v>200</v>
      </c>
      <c r="H123" s="2928"/>
      <c r="I123" s="2929">
        <v>800</v>
      </c>
      <c r="J123" s="2930">
        <v>800</v>
      </c>
      <c r="K123" s="2856">
        <f t="shared" si="7"/>
        <v>100</v>
      </c>
      <c r="L123" s="219"/>
      <c r="M123" s="130"/>
      <c r="N123" s="130"/>
      <c r="O123" s="243"/>
    </row>
    <row r="124" spans="1:15" ht="14.25" customHeight="1" thickBot="1">
      <c r="A124" s="153"/>
      <c r="B124" s="2411" t="s">
        <v>295</v>
      </c>
      <c r="C124" s="2958" t="str">
        <f>'Бюд.р.'!A443</f>
        <v>ОБРАЗОВАНИЕ</v>
      </c>
      <c r="D124" s="2783">
        <v>968</v>
      </c>
      <c r="E124" s="2892" t="s">
        <v>358</v>
      </c>
      <c r="F124" s="2784"/>
      <c r="G124" s="2785"/>
      <c r="H124" s="2786"/>
      <c r="I124" s="2786">
        <f>I125+I130+I141</f>
        <v>4007.5000000000005</v>
      </c>
      <c r="J124" s="2787">
        <f>J125+J130+J141</f>
        <v>4007.5000000000005</v>
      </c>
      <c r="K124" s="2788">
        <f t="shared" si="7"/>
        <v>100</v>
      </c>
      <c r="L124" s="219"/>
      <c r="M124" s="130"/>
      <c r="N124" s="130"/>
      <c r="O124" s="243"/>
    </row>
    <row r="125" spans="1:15" ht="27.75" customHeight="1">
      <c r="A125" s="153"/>
      <c r="B125" s="2412" t="s">
        <v>672</v>
      </c>
      <c r="C125" s="2789" t="str">
        <f>'Бюд.р.'!A444</f>
        <v>Профессиональная подготовка, переподготовка и повышение квалификации
</v>
      </c>
      <c r="D125" s="2893">
        <v>968</v>
      </c>
      <c r="E125" s="2894" t="s">
        <v>993</v>
      </c>
      <c r="F125" s="2895"/>
      <c r="G125" s="2896"/>
      <c r="H125" s="2897"/>
      <c r="I125" s="2897">
        <f>I128</f>
        <v>164.4</v>
      </c>
      <c r="J125" s="2911">
        <f>J128</f>
        <v>164.4</v>
      </c>
      <c r="K125" s="2900">
        <f t="shared" si="7"/>
        <v>100</v>
      </c>
      <c r="L125" s="219"/>
      <c r="M125" s="130"/>
      <c r="N125" s="130"/>
      <c r="O125" s="243"/>
    </row>
    <row r="126" spans="1:15" ht="36.75" customHeight="1" hidden="1">
      <c r="A126" s="153"/>
      <c r="B126" s="1173" t="s">
        <v>89</v>
      </c>
      <c r="C126" s="2790" t="str">
        <f>'Бюд.р.'!A447</f>
        <v>Расходы на организацию профессионального образования и дополнительного профессионального образования для выборных должностных лиц местного самоуправления </v>
      </c>
      <c r="D126" s="2791" t="s">
        <v>591</v>
      </c>
      <c r="E126" s="1582" t="s">
        <v>993</v>
      </c>
      <c r="F126" s="1582" t="str">
        <f>'Бюд.р.'!D447</f>
        <v>428 01 01</v>
      </c>
      <c r="G126" s="2792"/>
      <c r="H126" s="2793"/>
      <c r="I126" s="2793"/>
      <c r="J126" s="2794"/>
      <c r="K126" s="2795" t="e">
        <f t="shared" si="7"/>
        <v>#DIV/0!</v>
      </c>
      <c r="L126" s="224"/>
      <c r="M126" s="209"/>
      <c r="N126" s="209"/>
      <c r="O126" s="247"/>
    </row>
    <row r="127" spans="1:15" ht="24" customHeight="1" hidden="1">
      <c r="A127" s="153"/>
      <c r="B127" s="1170" t="s">
        <v>185</v>
      </c>
      <c r="C127" s="2831" t="str">
        <f>'Бюд.р.'!A448</f>
        <v>Закупка товаров, работ и услуг  для государственных (муниципальных) нужд</v>
      </c>
      <c r="D127" s="2797" t="s">
        <v>591</v>
      </c>
      <c r="E127" s="1773" t="s">
        <v>993</v>
      </c>
      <c r="F127" s="1768" t="str">
        <f>'Бюд.р.'!D449</f>
        <v>428 01 01</v>
      </c>
      <c r="G127" s="2798">
        <f>'Бюд.р.'!F448</f>
        <v>200</v>
      </c>
      <c r="H127" s="2799"/>
      <c r="I127" s="2799"/>
      <c r="J127" s="2800"/>
      <c r="K127" s="2795" t="e">
        <f t="shared" si="7"/>
        <v>#DIV/0!</v>
      </c>
      <c r="L127" s="224"/>
      <c r="M127" s="209"/>
      <c r="N127" s="209"/>
      <c r="O127" s="247"/>
    </row>
    <row r="128" spans="1:15" ht="36.75" customHeight="1">
      <c r="A128" s="153"/>
      <c r="B128" s="1173" t="s">
        <v>89</v>
      </c>
      <c r="C128" s="2808" t="str">
        <f>'Бюд.р.'!A452</f>
        <v>Расходы на организацию профессионального образования и дополнительного профессионального образования для  муниципальных служащих  </v>
      </c>
      <c r="D128" s="2791" t="s">
        <v>591</v>
      </c>
      <c r="E128" s="2369" t="s">
        <v>993</v>
      </c>
      <c r="F128" s="1582" t="str">
        <f>'Бюд.р.'!D452</f>
        <v>428 01 02</v>
      </c>
      <c r="G128" s="2792"/>
      <c r="H128" s="2793"/>
      <c r="I128" s="2793">
        <f>I129</f>
        <v>164.4</v>
      </c>
      <c r="J128" s="2794">
        <f>J129</f>
        <v>164.4</v>
      </c>
      <c r="K128" s="2795">
        <f t="shared" si="7"/>
        <v>100</v>
      </c>
      <c r="L128" s="224"/>
      <c r="M128" s="209"/>
      <c r="N128" s="209"/>
      <c r="O128" s="247"/>
    </row>
    <row r="129" spans="1:15" ht="24.75" customHeight="1">
      <c r="A129" s="153"/>
      <c r="B129" s="1170" t="s">
        <v>185</v>
      </c>
      <c r="C129" s="2831" t="str">
        <f>'Бюд.р.'!A453</f>
        <v>Закупка товаров, работ и услуг  для государственных (муниципальных) нужд</v>
      </c>
      <c r="D129" s="2797" t="s">
        <v>591</v>
      </c>
      <c r="E129" s="1773" t="s">
        <v>993</v>
      </c>
      <c r="F129" s="1768" t="str">
        <f>'Бюд.р.'!D454</f>
        <v>428 01 02</v>
      </c>
      <c r="G129" s="2798">
        <f>'Бюд.р.'!F453</f>
        <v>200</v>
      </c>
      <c r="H129" s="2799"/>
      <c r="I129" s="2799">
        <v>164.4</v>
      </c>
      <c r="J129" s="2800">
        <v>164.4</v>
      </c>
      <c r="K129" s="2814">
        <f t="shared" si="7"/>
        <v>100</v>
      </c>
      <c r="L129" s="224"/>
      <c r="M129" s="209"/>
      <c r="N129" s="209"/>
      <c r="O129" s="247"/>
    </row>
    <row r="130" spans="1:15" ht="15.75" customHeight="1">
      <c r="A130" s="153"/>
      <c r="B130" s="2413" t="s">
        <v>737</v>
      </c>
      <c r="C130" s="3026" t="s">
        <v>357</v>
      </c>
      <c r="D130" s="2893" t="s">
        <v>591</v>
      </c>
      <c r="E130" s="2895" t="s">
        <v>359</v>
      </c>
      <c r="F130" s="3030"/>
      <c r="G130" s="3031"/>
      <c r="H130" s="3032"/>
      <c r="I130" s="3033">
        <f>I131+I133+I135+I137+I139</f>
        <v>3725.1000000000004</v>
      </c>
      <c r="J130" s="3034">
        <f>J131+J133+J135+J137+J139</f>
        <v>3725.1000000000004</v>
      </c>
      <c r="K130" s="2795">
        <f t="shared" si="7"/>
        <v>100</v>
      </c>
      <c r="L130" s="217">
        <f>L135+L137</f>
        <v>585</v>
      </c>
      <c r="M130" s="93">
        <f>M135+M137</f>
        <v>667</v>
      </c>
      <c r="N130" s="93">
        <f>N135+N137</f>
        <v>485</v>
      </c>
      <c r="O130" s="241">
        <f>O135+O137</f>
        <v>1170</v>
      </c>
    </row>
    <row r="131" spans="1:15" ht="37.5" customHeight="1">
      <c r="A131" s="153"/>
      <c r="B131" s="1173" t="s">
        <v>473</v>
      </c>
      <c r="C131" s="2790" t="str">
        <f>'Бюд.р.'!A458</f>
        <v>Ведомственная целевая программа по участию в реализации мер по профилактике дорожно-транспортного травматизма на территории МО </v>
      </c>
      <c r="D131" s="2791" t="s">
        <v>591</v>
      </c>
      <c r="E131" s="1582" t="s">
        <v>359</v>
      </c>
      <c r="F131" s="1582" t="str">
        <f>'Бюд.р.'!D462</f>
        <v>795 01 00</v>
      </c>
      <c r="G131" s="2792"/>
      <c r="H131" s="2793"/>
      <c r="I131" s="2793">
        <f>I132</f>
        <v>784.5</v>
      </c>
      <c r="J131" s="2794">
        <f>J132</f>
        <v>784.5</v>
      </c>
      <c r="K131" s="2795">
        <f t="shared" si="7"/>
        <v>100</v>
      </c>
      <c r="L131" s="217"/>
      <c r="M131" s="93"/>
      <c r="N131" s="93"/>
      <c r="O131" s="241"/>
    </row>
    <row r="132" spans="1:15" ht="23.25" customHeight="1">
      <c r="A132" s="153"/>
      <c r="B132" s="1170" t="s">
        <v>185</v>
      </c>
      <c r="C132" s="2831" t="str">
        <f>'Бюд.р.'!A459</f>
        <v>Закупка товаров, работ и услуг  для государственных (муниципальных) нужд</v>
      </c>
      <c r="D132" s="2797" t="s">
        <v>591</v>
      </c>
      <c r="E132" s="1768" t="s">
        <v>359</v>
      </c>
      <c r="F132" s="1768" t="str">
        <f>'Бюд.р.'!D463</f>
        <v>795 01 00</v>
      </c>
      <c r="G132" s="2798">
        <f>'Бюд.р.'!G461</f>
        <v>200</v>
      </c>
      <c r="H132" s="2799"/>
      <c r="I132" s="2799">
        <v>784.5</v>
      </c>
      <c r="J132" s="2800">
        <v>784.5</v>
      </c>
      <c r="K132" s="2814">
        <f t="shared" si="7"/>
        <v>100</v>
      </c>
      <c r="L132" s="217"/>
      <c r="M132" s="93"/>
      <c r="N132" s="93"/>
      <c r="O132" s="241"/>
    </row>
    <row r="133" spans="1:15" ht="57" customHeight="1">
      <c r="A133" s="153"/>
      <c r="B133" s="1173" t="s">
        <v>1189</v>
      </c>
      <c r="C133" s="2808" t="str">
        <f>'Бюд.р.'!A464</f>
        <v>Ведомственная 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 </v>
      </c>
      <c r="D133" s="2791">
        <f>'Бюд.р.'!B464</f>
        <v>968</v>
      </c>
      <c r="E133" s="2369" t="s">
        <v>359</v>
      </c>
      <c r="F133" s="1582" t="str">
        <f>'Бюд.р.'!D464</f>
        <v>795 04 00</v>
      </c>
      <c r="G133" s="2792"/>
      <c r="H133" s="2793"/>
      <c r="I133" s="2793">
        <f>I134</f>
        <v>140.6</v>
      </c>
      <c r="J133" s="2794">
        <f>J134</f>
        <v>140.6</v>
      </c>
      <c r="K133" s="2795">
        <f t="shared" si="7"/>
        <v>100</v>
      </c>
      <c r="L133" s="217"/>
      <c r="M133" s="93"/>
      <c r="N133" s="93"/>
      <c r="O133" s="241"/>
    </row>
    <row r="134" spans="1:15" ht="25.5" customHeight="1">
      <c r="A134" s="153"/>
      <c r="B134" s="1170"/>
      <c r="C134" s="2831" t="str">
        <f>'Бюд.р.'!A465</f>
        <v>Закупка товаров, работ и услуг  для государственных (муниципальных) нужд</v>
      </c>
      <c r="D134" s="2797">
        <f>'Бюд.р.'!B465</f>
        <v>968</v>
      </c>
      <c r="E134" s="1773" t="s">
        <v>359</v>
      </c>
      <c r="F134" s="1768" t="str">
        <f>'Бюд.р.'!D465</f>
        <v>795 04 00</v>
      </c>
      <c r="G134" s="2798">
        <f>'Бюд.р.'!F465</f>
        <v>200</v>
      </c>
      <c r="H134" s="2799"/>
      <c r="I134" s="2799">
        <v>140.6</v>
      </c>
      <c r="J134" s="2800">
        <v>140.6</v>
      </c>
      <c r="K134" s="2814">
        <f t="shared" si="7"/>
        <v>100</v>
      </c>
      <c r="L134" s="217"/>
      <c r="M134" s="93"/>
      <c r="N134" s="93"/>
      <c r="O134" s="241"/>
    </row>
    <row r="135" spans="1:15" ht="36" customHeight="1">
      <c r="A135" s="154" t="s">
        <v>245</v>
      </c>
      <c r="B135" s="1173" t="s">
        <v>1319</v>
      </c>
      <c r="C135" s="2790" t="str">
        <f>'Бюд.р.'!A469</f>
        <v>Ведомственная целевая программа по военно-патриотическому воспитанию граждан муниципального образования</v>
      </c>
      <c r="D135" s="2791" t="s">
        <v>591</v>
      </c>
      <c r="E135" s="1582" t="s">
        <v>359</v>
      </c>
      <c r="F135" s="1582" t="str">
        <f>'Бюд.р.'!D469</f>
        <v>795 08 00</v>
      </c>
      <c r="G135" s="2792"/>
      <c r="H135" s="2793"/>
      <c r="I135" s="2793">
        <f>I136</f>
        <v>1103.7</v>
      </c>
      <c r="J135" s="2794">
        <f>J136</f>
        <v>1103.7</v>
      </c>
      <c r="K135" s="2795">
        <f t="shared" si="7"/>
        <v>100</v>
      </c>
      <c r="L135" s="218">
        <f>L136</f>
        <v>90</v>
      </c>
      <c r="M135" s="127">
        <f>M136</f>
        <v>479</v>
      </c>
      <c r="N135" s="127">
        <f>N136</f>
        <v>485</v>
      </c>
      <c r="O135" s="242">
        <f>O136</f>
        <v>310</v>
      </c>
    </row>
    <row r="136" spans="1:15" ht="24.75" customHeight="1">
      <c r="A136" s="50" t="s">
        <v>182</v>
      </c>
      <c r="B136" s="1170" t="s">
        <v>185</v>
      </c>
      <c r="C136" s="2831" t="str">
        <f>'Бюд.р.'!A470</f>
        <v>Закупка товаров, работ и услуг  для государственных (муниципальных) нужд</v>
      </c>
      <c r="D136" s="2797" t="s">
        <v>591</v>
      </c>
      <c r="E136" s="1768" t="s">
        <v>359</v>
      </c>
      <c r="F136" s="1768" t="str">
        <f>'Бюд.р.'!D470</f>
        <v>795 08 00</v>
      </c>
      <c r="G136" s="2798">
        <f>'Бюд.р.'!F470</f>
        <v>200</v>
      </c>
      <c r="H136" s="2799"/>
      <c r="I136" s="2799">
        <v>1103.7</v>
      </c>
      <c r="J136" s="2800">
        <v>1103.7</v>
      </c>
      <c r="K136" s="2814">
        <f t="shared" si="7"/>
        <v>100</v>
      </c>
      <c r="L136" s="219">
        <v>90</v>
      </c>
      <c r="M136" s="130">
        <v>479</v>
      </c>
      <c r="N136" s="130">
        <v>485</v>
      </c>
      <c r="O136" s="243">
        <v>310</v>
      </c>
    </row>
    <row r="137" spans="1:15" ht="36" customHeight="1">
      <c r="A137" s="154" t="s">
        <v>233</v>
      </c>
      <c r="B137" s="1173" t="s">
        <v>1320</v>
      </c>
      <c r="C137" s="2790" t="str">
        <f>'Бюд.р.'!A477</f>
        <v>Ведомственная целевая программа по организации и проведению досуговых мероприятий для жителей МО МО Озеро Долгое </v>
      </c>
      <c r="D137" s="2791" t="s">
        <v>591</v>
      </c>
      <c r="E137" s="1582" t="s">
        <v>359</v>
      </c>
      <c r="F137" s="1582" t="str">
        <f>'Бюд.р.'!D477</f>
        <v>795 06 00</v>
      </c>
      <c r="G137" s="2792"/>
      <c r="H137" s="2793"/>
      <c r="I137" s="2793">
        <f>I138</f>
        <v>1610.9</v>
      </c>
      <c r="J137" s="2794">
        <f>J138</f>
        <v>1610.9</v>
      </c>
      <c r="K137" s="2795">
        <f t="shared" si="7"/>
        <v>100</v>
      </c>
      <c r="L137" s="218">
        <f>L138</f>
        <v>495</v>
      </c>
      <c r="M137" s="127">
        <f>M138</f>
        <v>188</v>
      </c>
      <c r="N137" s="127">
        <f>N138</f>
        <v>0</v>
      </c>
      <c r="O137" s="242">
        <f>O138</f>
        <v>860</v>
      </c>
    </row>
    <row r="138" spans="1:15" ht="27" customHeight="1">
      <c r="A138" s="50" t="s">
        <v>679</v>
      </c>
      <c r="B138" s="1170" t="s">
        <v>185</v>
      </c>
      <c r="C138" s="2831" t="str">
        <f>'Бюд.р.'!A478</f>
        <v>Закупка товаров, работ и услуг  для государственных (муниципальных) нужд</v>
      </c>
      <c r="D138" s="2797" t="s">
        <v>591</v>
      </c>
      <c r="E138" s="1768" t="s">
        <v>359</v>
      </c>
      <c r="F138" s="1768" t="str">
        <f>'Бюд.р.'!D478</f>
        <v>795 06 00</v>
      </c>
      <c r="G138" s="2798">
        <f>'Бюд.р.'!F478</f>
        <v>200</v>
      </c>
      <c r="H138" s="2799"/>
      <c r="I138" s="2799">
        <v>1610.9</v>
      </c>
      <c r="J138" s="2800">
        <v>1610.9</v>
      </c>
      <c r="K138" s="2814">
        <f t="shared" si="7"/>
        <v>100</v>
      </c>
      <c r="L138" s="219">
        <v>495</v>
      </c>
      <c r="M138" s="130">
        <v>188</v>
      </c>
      <c r="N138" s="130">
        <v>0</v>
      </c>
      <c r="O138" s="243">
        <v>860</v>
      </c>
    </row>
    <row r="139" spans="1:15" ht="55.5" customHeight="1">
      <c r="A139" s="2410"/>
      <c r="B139" s="1173" t="s">
        <v>1321</v>
      </c>
      <c r="C139" s="2790" t="str">
        <f>'Бюд.р.'!A486</f>
        <v>Ведомственная целевая программа   по участию в профилактике  терроризма и экстремизма, а также  минимизации и (или) ликвидации последствий проявления терроризма и экстремизма на территории МО </v>
      </c>
      <c r="D139" s="2791" t="s">
        <v>591</v>
      </c>
      <c r="E139" s="1582" t="s">
        <v>359</v>
      </c>
      <c r="F139" s="1582" t="str">
        <f>F140</f>
        <v>795 05 00</v>
      </c>
      <c r="G139" s="2792"/>
      <c r="H139" s="2793"/>
      <c r="I139" s="2793">
        <f>I140</f>
        <v>85.4</v>
      </c>
      <c r="J139" s="2794">
        <f>J140</f>
        <v>85.4</v>
      </c>
      <c r="K139" s="2795">
        <f t="shared" si="7"/>
        <v>100</v>
      </c>
      <c r="L139" s="219"/>
      <c r="M139" s="130"/>
      <c r="N139" s="130"/>
      <c r="O139" s="243"/>
    </row>
    <row r="140" spans="1:15" ht="27" customHeight="1">
      <c r="A140" s="2410"/>
      <c r="B140" s="1170" t="s">
        <v>185</v>
      </c>
      <c r="C140" s="2831" t="str">
        <f>'Бюд.р.'!A487</f>
        <v>Закупка товаров, работ и услуг  для государственных (муниципальных) нужд</v>
      </c>
      <c r="D140" s="2797" t="s">
        <v>591</v>
      </c>
      <c r="E140" s="1768" t="s">
        <v>359</v>
      </c>
      <c r="F140" s="1768" t="str">
        <f>'Бюд.р.'!D487</f>
        <v>795 05 00</v>
      </c>
      <c r="G140" s="2798">
        <f>'Бюд.р.'!F487</f>
        <v>200</v>
      </c>
      <c r="H140" s="2799"/>
      <c r="I140" s="2799">
        <v>85.4</v>
      </c>
      <c r="J140" s="2800">
        <v>85.4</v>
      </c>
      <c r="K140" s="2814">
        <f t="shared" si="7"/>
        <v>100</v>
      </c>
      <c r="L140" s="219"/>
      <c r="M140" s="130"/>
      <c r="N140" s="130"/>
      <c r="O140" s="243"/>
    </row>
    <row r="141" spans="1:15" ht="15">
      <c r="A141" s="159"/>
      <c r="B141" s="2414" t="s">
        <v>16</v>
      </c>
      <c r="C141" s="3035" t="s">
        <v>14</v>
      </c>
      <c r="D141" s="2791" t="s">
        <v>591</v>
      </c>
      <c r="E141" s="1582" t="s">
        <v>18</v>
      </c>
      <c r="F141" s="3030"/>
      <c r="G141" s="2828"/>
      <c r="H141" s="2951"/>
      <c r="I141" s="2923">
        <f>I142+I144</f>
        <v>118</v>
      </c>
      <c r="J141" s="2372">
        <f>J142+J144</f>
        <v>118</v>
      </c>
      <c r="K141" s="2795">
        <f t="shared" si="7"/>
        <v>100</v>
      </c>
      <c r="L141" s="220"/>
      <c r="M141" s="176"/>
      <c r="N141" s="176"/>
      <c r="O141" s="210"/>
    </row>
    <row r="142" spans="1:15" ht="34.5" customHeight="1">
      <c r="A142" s="159"/>
      <c r="B142" s="1173" t="s">
        <v>17</v>
      </c>
      <c r="C142" s="2808" t="str">
        <f>'Бюд.р.'!A494</f>
        <v>Ведомственная целевая программа по участию в реализации мер по профилактике дорожно-транспортного травматизма на территории МО </v>
      </c>
      <c r="D142" s="2791" t="s">
        <v>591</v>
      </c>
      <c r="E142" s="1582" t="s">
        <v>18</v>
      </c>
      <c r="F142" s="1582" t="s">
        <v>409</v>
      </c>
      <c r="G142" s="2792"/>
      <c r="H142" s="2793"/>
      <c r="I142" s="2877">
        <f>I143</f>
        <v>35</v>
      </c>
      <c r="J142" s="2878">
        <f>J143</f>
        <v>35</v>
      </c>
      <c r="K142" s="2795">
        <f t="shared" si="7"/>
        <v>100</v>
      </c>
      <c r="L142" s="220"/>
      <c r="M142" s="176"/>
      <c r="N142" s="176"/>
      <c r="O142" s="210"/>
    </row>
    <row r="143" spans="1:15" ht="25.5" customHeight="1">
      <c r="A143" s="159"/>
      <c r="B143" s="1172" t="s">
        <v>185</v>
      </c>
      <c r="C143" s="2831" t="str">
        <f>'Бюд.р.'!A495</f>
        <v>Закупка товаров, работ и услуг  для государственных (муниципальных) нужд</v>
      </c>
      <c r="D143" s="2907" t="s">
        <v>591</v>
      </c>
      <c r="E143" s="2903" t="s">
        <v>18</v>
      </c>
      <c r="F143" s="2903" t="s">
        <v>409</v>
      </c>
      <c r="G143" s="2908">
        <f>'Бюд.р.'!F495</f>
        <v>200</v>
      </c>
      <c r="H143" s="2909"/>
      <c r="I143" s="2932">
        <v>35</v>
      </c>
      <c r="J143" s="2933">
        <v>35</v>
      </c>
      <c r="K143" s="2814">
        <f t="shared" si="7"/>
        <v>100</v>
      </c>
      <c r="L143" s="220"/>
      <c r="M143" s="176"/>
      <c r="N143" s="176"/>
      <c r="O143" s="210"/>
    </row>
    <row r="144" spans="1:15" ht="57.75" customHeight="1">
      <c r="A144" s="159"/>
      <c r="B144" s="1173" t="s">
        <v>1190</v>
      </c>
      <c r="C144" s="2808" t="str">
        <f>'Бюд.р.'!A503</f>
        <v>Ведомственная 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 </v>
      </c>
      <c r="D144" s="2791" t="s">
        <v>591</v>
      </c>
      <c r="E144" s="1582" t="s">
        <v>18</v>
      </c>
      <c r="F144" s="1582" t="s">
        <v>143</v>
      </c>
      <c r="G144" s="2792"/>
      <c r="H144" s="2793"/>
      <c r="I144" s="2877">
        <f>I145</f>
        <v>83</v>
      </c>
      <c r="J144" s="2878">
        <f>J145</f>
        <v>83</v>
      </c>
      <c r="K144" s="2795">
        <f t="shared" si="7"/>
        <v>100</v>
      </c>
      <c r="L144" s="220"/>
      <c r="M144" s="176"/>
      <c r="N144" s="176"/>
      <c r="O144" s="210"/>
    </row>
    <row r="145" spans="1:15" ht="27.75" customHeight="1" thickBot="1">
      <c r="A145" s="159"/>
      <c r="B145" s="1172" t="s">
        <v>185</v>
      </c>
      <c r="C145" s="2857" t="str">
        <f>'Бюд.р.'!A504</f>
        <v>Закупка товаров, работ и услуг  для государственных (муниципальных) нужд</v>
      </c>
      <c r="D145" s="2907" t="s">
        <v>591</v>
      </c>
      <c r="E145" s="2903" t="s">
        <v>18</v>
      </c>
      <c r="F145" s="2903" t="s">
        <v>143</v>
      </c>
      <c r="G145" s="2908">
        <f>'Бюд.р.'!F504</f>
        <v>200</v>
      </c>
      <c r="H145" s="2909"/>
      <c r="I145" s="2932">
        <v>83</v>
      </c>
      <c r="J145" s="2933">
        <v>83</v>
      </c>
      <c r="K145" s="2856">
        <f t="shared" si="7"/>
        <v>100</v>
      </c>
      <c r="L145" s="220"/>
      <c r="M145" s="176"/>
      <c r="N145" s="176"/>
      <c r="O145" s="210"/>
    </row>
    <row r="146" spans="1:15" ht="19.5" customHeight="1" thickBot="1">
      <c r="A146" s="159"/>
      <c r="B146" s="2417" t="s">
        <v>296</v>
      </c>
      <c r="C146" s="3036" t="str">
        <f>'Бюд.р.'!A509</f>
        <v>КУЛЬТУРА, КИНЕМАТОГРАФИЯ </v>
      </c>
      <c r="D146" s="2783" t="s">
        <v>591</v>
      </c>
      <c r="E146" s="2892" t="s">
        <v>362</v>
      </c>
      <c r="F146" s="3037"/>
      <c r="G146" s="3038"/>
      <c r="H146" s="3039"/>
      <c r="I146" s="3040">
        <f>I147+I150</f>
        <v>10849.9</v>
      </c>
      <c r="J146" s="3041">
        <f>J147+J150</f>
        <v>10849.9</v>
      </c>
      <c r="K146" s="2788">
        <f t="shared" si="7"/>
        <v>100</v>
      </c>
      <c r="L146" s="220"/>
      <c r="M146" s="176"/>
      <c r="N146" s="176"/>
      <c r="O146" s="210"/>
    </row>
    <row r="147" spans="1:15" ht="14.25" customHeight="1">
      <c r="A147" s="159"/>
      <c r="B147" s="2413" t="s">
        <v>673</v>
      </c>
      <c r="C147" s="3042" t="str">
        <f>'Бюд.р.'!A510</f>
        <v>Культура</v>
      </c>
      <c r="D147" s="2893">
        <v>968</v>
      </c>
      <c r="E147" s="2894" t="s">
        <v>363</v>
      </c>
      <c r="F147" s="3030"/>
      <c r="G147" s="3031"/>
      <c r="H147" s="3032"/>
      <c r="I147" s="3033">
        <f>I148</f>
        <v>9164.9</v>
      </c>
      <c r="J147" s="3034">
        <f>J148</f>
        <v>9164.9</v>
      </c>
      <c r="K147" s="2900">
        <f t="shared" si="7"/>
        <v>100</v>
      </c>
      <c r="L147" s="220"/>
      <c r="M147" s="176"/>
      <c r="N147" s="176"/>
      <c r="O147" s="210"/>
    </row>
    <row r="148" spans="1:15" ht="57.75" customHeight="1">
      <c r="A148" s="159"/>
      <c r="B148" s="1173" t="s">
        <v>90</v>
      </c>
      <c r="C148" s="2916" t="str">
        <f>'Бюд.р.'!A511</f>
        <v>Ведомственная целевая программа по организации и проведению местных и участию в организации и проведении городских праздничных и иных зрелищных мероприятий, а также мероприятий по сохранению и развитию местных традиций и обрядов </v>
      </c>
      <c r="D148" s="2791" t="s">
        <v>591</v>
      </c>
      <c r="E148" s="2879" t="s">
        <v>363</v>
      </c>
      <c r="F148" s="2879" t="str">
        <f>'Бюд.р.'!D511</f>
        <v>795 09 00</v>
      </c>
      <c r="G148" s="2934"/>
      <c r="H148" s="2880"/>
      <c r="I148" s="2880">
        <f>I149</f>
        <v>9164.9</v>
      </c>
      <c r="J148" s="2881">
        <f>J149</f>
        <v>9164.9</v>
      </c>
      <c r="K148" s="2795">
        <f t="shared" si="7"/>
        <v>100</v>
      </c>
      <c r="L148" s="218">
        <f>L149</f>
        <v>849</v>
      </c>
      <c r="M148" s="127">
        <f>M149</f>
        <v>707</v>
      </c>
      <c r="N148" s="127">
        <f>N149</f>
        <v>197</v>
      </c>
      <c r="O148" s="242">
        <f>O149</f>
        <v>253</v>
      </c>
    </row>
    <row r="149" spans="1:15" ht="24.75" customHeight="1">
      <c r="A149" s="159"/>
      <c r="B149" s="1172" t="s">
        <v>185</v>
      </c>
      <c r="C149" s="2831" t="str">
        <f>'Бюд.р.'!A512</f>
        <v>Закупка товаров, работ и услуг  для государственных (муниципальных) нужд</v>
      </c>
      <c r="D149" s="2797" t="s">
        <v>591</v>
      </c>
      <c r="E149" s="1768" t="s">
        <v>363</v>
      </c>
      <c r="F149" s="1768" t="str">
        <f>'Бюд.р.'!D512</f>
        <v>795 09 00</v>
      </c>
      <c r="G149" s="2798">
        <f>'Бюд.р.'!F512</f>
        <v>200</v>
      </c>
      <c r="H149" s="2920"/>
      <c r="I149" s="2926">
        <v>9164.9</v>
      </c>
      <c r="J149" s="2927">
        <v>9164.9</v>
      </c>
      <c r="K149" s="2814">
        <f t="shared" si="7"/>
        <v>100</v>
      </c>
      <c r="L149" s="219">
        <v>849</v>
      </c>
      <c r="M149" s="130">
        <v>707</v>
      </c>
      <c r="N149" s="130">
        <v>197</v>
      </c>
      <c r="O149" s="243">
        <v>253</v>
      </c>
    </row>
    <row r="150" spans="1:15" ht="28.5" customHeight="1">
      <c r="A150" s="159"/>
      <c r="B150" s="2414" t="s">
        <v>738</v>
      </c>
      <c r="C150" s="3035" t="str">
        <f>'Бюд.р.'!A519</f>
        <v>Другие вопросы в области культуры, кинематографии</v>
      </c>
      <c r="D150" s="2791">
        <v>968</v>
      </c>
      <c r="E150" s="2369" t="s">
        <v>1241</v>
      </c>
      <c r="F150" s="3030"/>
      <c r="G150" s="2828"/>
      <c r="H150" s="2951"/>
      <c r="I150" s="2923">
        <f>I151+I153</f>
        <v>1685</v>
      </c>
      <c r="J150" s="2372">
        <f>J151+J153</f>
        <v>1685</v>
      </c>
      <c r="K150" s="2795">
        <f t="shared" si="7"/>
        <v>99.99999999999999</v>
      </c>
      <c r="L150" s="219"/>
      <c r="M150" s="130"/>
      <c r="N150" s="130"/>
      <c r="O150" s="243"/>
    </row>
    <row r="151" spans="1:15" ht="35.25" customHeight="1">
      <c r="A151" s="159"/>
      <c r="B151" s="1173" t="s">
        <v>10</v>
      </c>
      <c r="C151" s="2916" t="str">
        <f>'Бюд.р.'!A520</f>
        <v>Ведомственная целевая программа по организации и проведению досуговых мероприятий для жителей МО МО Озеро Долгое </v>
      </c>
      <c r="D151" s="2791" t="s">
        <v>591</v>
      </c>
      <c r="E151" s="2935" t="s">
        <v>1241</v>
      </c>
      <c r="F151" s="2879" t="s">
        <v>1104</v>
      </c>
      <c r="G151" s="2934"/>
      <c r="H151" s="2880"/>
      <c r="I151" s="2923">
        <f>I152</f>
        <v>1511</v>
      </c>
      <c r="J151" s="2372">
        <f>J152</f>
        <v>1511</v>
      </c>
      <c r="K151" s="2795">
        <f t="shared" si="7"/>
        <v>100</v>
      </c>
      <c r="L151" s="219"/>
      <c r="M151" s="130"/>
      <c r="N151" s="130"/>
      <c r="O151" s="243"/>
    </row>
    <row r="152" spans="1:15" ht="22.5" customHeight="1">
      <c r="A152" s="159"/>
      <c r="B152" s="1172" t="s">
        <v>185</v>
      </c>
      <c r="C152" s="2831" t="str">
        <f>'Бюд.р.'!A521</f>
        <v>Закупка товаров, работ и услуг  для государственных (муниципальных) нужд</v>
      </c>
      <c r="D152" s="2797" t="s">
        <v>591</v>
      </c>
      <c r="E152" s="1773" t="s">
        <v>1241</v>
      </c>
      <c r="F152" s="1768" t="s">
        <v>1104</v>
      </c>
      <c r="G152" s="2798">
        <f>'Бюд.р.'!F521</f>
        <v>200</v>
      </c>
      <c r="H152" s="2920"/>
      <c r="I152" s="2924">
        <v>1511</v>
      </c>
      <c r="J152" s="1771">
        <v>1511</v>
      </c>
      <c r="K152" s="2814">
        <f t="shared" si="7"/>
        <v>100</v>
      </c>
      <c r="L152" s="219"/>
      <c r="M152" s="130"/>
      <c r="N152" s="130"/>
      <c r="O152" s="243"/>
    </row>
    <row r="153" spans="1:15" ht="38.25" customHeight="1">
      <c r="A153" s="159"/>
      <c r="B153" s="1173" t="s">
        <v>1322</v>
      </c>
      <c r="C153" s="2916" t="str">
        <f>'Бюд.р.'!A526</f>
        <v>Ведомственная целевая программа по военно-патриотическому воспитанию граждан муниципального образования</v>
      </c>
      <c r="D153" s="2791" t="s">
        <v>591</v>
      </c>
      <c r="E153" s="2935" t="s">
        <v>1241</v>
      </c>
      <c r="F153" s="2879" t="str">
        <f>F154</f>
        <v>795 08 00</v>
      </c>
      <c r="G153" s="2934"/>
      <c r="H153" s="2880"/>
      <c r="I153" s="2923">
        <f>I154</f>
        <v>174</v>
      </c>
      <c r="J153" s="2372">
        <f>J154</f>
        <v>174</v>
      </c>
      <c r="K153" s="2795">
        <f t="shared" si="7"/>
        <v>100</v>
      </c>
      <c r="L153" s="219"/>
      <c r="M153" s="130"/>
      <c r="N153" s="130"/>
      <c r="O153" s="243"/>
    </row>
    <row r="154" spans="1:15" ht="22.5" customHeight="1" thickBot="1">
      <c r="A154" s="159"/>
      <c r="B154" s="1172" t="s">
        <v>185</v>
      </c>
      <c r="C154" s="2857" t="str">
        <f>'Бюд.р.'!A527</f>
        <v>Закупка товаров, работ и услуг  для государственных (муниципальных) нужд</v>
      </c>
      <c r="D154" s="2907" t="s">
        <v>591</v>
      </c>
      <c r="E154" s="2890" t="s">
        <v>1241</v>
      </c>
      <c r="F154" s="2903" t="str">
        <f>'Бюд.р.'!D527</f>
        <v>795 08 00</v>
      </c>
      <c r="G154" s="2908">
        <f>'Бюд.р.'!F527</f>
        <v>200</v>
      </c>
      <c r="H154" s="2928"/>
      <c r="I154" s="2929">
        <v>174</v>
      </c>
      <c r="J154" s="2930">
        <v>174</v>
      </c>
      <c r="K154" s="2814">
        <f t="shared" si="7"/>
        <v>100</v>
      </c>
      <c r="L154" s="219"/>
      <c r="M154" s="130"/>
      <c r="N154" s="130"/>
      <c r="O154" s="243"/>
    </row>
    <row r="155" spans="1:15" ht="18" customHeight="1" thickBot="1">
      <c r="A155" s="159"/>
      <c r="B155" s="2417" t="s">
        <v>297</v>
      </c>
      <c r="C155" s="3036" t="str">
        <f>'Бюд.р.'!A531</f>
        <v>СОЦИАЛЬНАЯ ПОЛИТИКА</v>
      </c>
      <c r="D155" s="2783" t="s">
        <v>591</v>
      </c>
      <c r="E155" s="2892" t="s">
        <v>292</v>
      </c>
      <c r="F155" s="3037"/>
      <c r="G155" s="3038"/>
      <c r="H155" s="3039"/>
      <c r="I155" s="3040">
        <f>I156+I159</f>
        <v>16354.6</v>
      </c>
      <c r="J155" s="3041">
        <f>J156+J159</f>
        <v>16081</v>
      </c>
      <c r="K155" s="2913">
        <f t="shared" si="7"/>
        <v>98.32707617428736</v>
      </c>
      <c r="L155" s="219"/>
      <c r="M155" s="130"/>
      <c r="N155" s="130"/>
      <c r="O155" s="243"/>
    </row>
    <row r="156" spans="1:15" ht="12.75" customHeight="1">
      <c r="A156" s="159"/>
      <c r="B156" s="2413" t="s">
        <v>98</v>
      </c>
      <c r="C156" s="3042" t="str">
        <f>'Бюд.р.'!A532</f>
        <v>Социальное обеспечение населения</v>
      </c>
      <c r="D156" s="2893">
        <v>968</v>
      </c>
      <c r="E156" s="2894" t="s">
        <v>903</v>
      </c>
      <c r="F156" s="3030"/>
      <c r="G156" s="3031"/>
      <c r="H156" s="3032"/>
      <c r="I156" s="3033">
        <f>I157</f>
        <v>959.5</v>
      </c>
      <c r="J156" s="3034">
        <f>J157</f>
        <v>959.5</v>
      </c>
      <c r="K156" s="2795">
        <f t="shared" si="7"/>
        <v>100</v>
      </c>
      <c r="L156" s="219"/>
      <c r="M156" s="130"/>
      <c r="N156" s="130"/>
      <c r="O156" s="243"/>
    </row>
    <row r="157" spans="1:15" ht="36" customHeight="1">
      <c r="A157" s="160"/>
      <c r="B157" s="1173" t="s">
        <v>1033</v>
      </c>
      <c r="C157" s="2808" t="str">
        <f>'Бюд.р.'!A533</f>
        <v>РАСХОДЫ НА ПРЕДОСТАВЛЕНИЕ ДОПЛАТ К ПЕНСИИ ЛИЦАМ, ЗАМЕЩАВШИМ МУНИЦИПАЛЬНЫЕ ДОЛЖНОСТИ И ДОЛЖНОСТИ МУНИЦИПАЛЬНОЙ СЛУЖБЫ</v>
      </c>
      <c r="D157" s="2791" t="s">
        <v>591</v>
      </c>
      <c r="E157" s="2879" t="s">
        <v>903</v>
      </c>
      <c r="F157" s="1582" t="s">
        <v>901</v>
      </c>
      <c r="G157" s="2792"/>
      <c r="H157" s="2799"/>
      <c r="I157" s="2811">
        <f>I158</f>
        <v>959.5</v>
      </c>
      <c r="J157" s="2867">
        <f>J158</f>
        <v>959.5</v>
      </c>
      <c r="K157" s="2795">
        <f t="shared" si="7"/>
        <v>100</v>
      </c>
      <c r="L157" s="224"/>
      <c r="M157" s="209"/>
      <c r="N157" s="209"/>
      <c r="O157" s="247"/>
    </row>
    <row r="158" spans="1:15" ht="15.75" customHeight="1">
      <c r="A158" s="160"/>
      <c r="B158" s="1170" t="s">
        <v>185</v>
      </c>
      <c r="C158" s="2831" t="str">
        <f>'Бюд.р.'!A534</f>
        <v>Социальное обеспечение и иные выплаты населению</v>
      </c>
      <c r="D158" s="2797" t="s">
        <v>591</v>
      </c>
      <c r="E158" s="1772" t="s">
        <v>903</v>
      </c>
      <c r="F158" s="1585" t="s">
        <v>901</v>
      </c>
      <c r="G158" s="2810">
        <f>'Бюд.р.'!F534</f>
        <v>300</v>
      </c>
      <c r="H158" s="2812"/>
      <c r="I158" s="2812">
        <v>959.5</v>
      </c>
      <c r="J158" s="2813">
        <v>959.5</v>
      </c>
      <c r="K158" s="2814">
        <f aca="true" t="shared" si="8" ref="K158:K175">J158/I158%</f>
        <v>100</v>
      </c>
      <c r="L158" s="224"/>
      <c r="M158" s="209"/>
      <c r="N158" s="209"/>
      <c r="O158" s="247"/>
    </row>
    <row r="159" spans="1:15" ht="15.75" customHeight="1">
      <c r="A159" s="160"/>
      <c r="B159" s="2414" t="s">
        <v>1073</v>
      </c>
      <c r="C159" s="3035" t="str">
        <f>'Бюд.р.'!A538</f>
        <v>Охрана семьи и детства</v>
      </c>
      <c r="D159" s="2791">
        <v>968</v>
      </c>
      <c r="E159" s="2369" t="s">
        <v>766</v>
      </c>
      <c r="F159" s="3030"/>
      <c r="G159" s="2828"/>
      <c r="H159" s="2951"/>
      <c r="I159" s="2923">
        <f>I160+I163+I165</f>
        <v>15395.1</v>
      </c>
      <c r="J159" s="2372">
        <f>J160+J163+J165</f>
        <v>15121.5</v>
      </c>
      <c r="K159" s="2795">
        <f t="shared" si="8"/>
        <v>98.22281115419842</v>
      </c>
      <c r="L159" s="224"/>
      <c r="M159" s="224"/>
      <c r="N159" s="224"/>
      <c r="O159" s="2415"/>
    </row>
    <row r="160" spans="1:15" ht="48" customHeight="1">
      <c r="A160" s="160"/>
      <c r="B160" s="1173" t="s">
        <v>1074</v>
      </c>
      <c r="C160" s="2808" t="str">
        <f>'Бюд.р.'!A539</f>
        <v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v>
      </c>
      <c r="D160" s="2791" t="s">
        <v>591</v>
      </c>
      <c r="E160" s="2879" t="s">
        <v>766</v>
      </c>
      <c r="F160" s="1582" t="str">
        <f>'Бюд.р.'!D541</f>
        <v>002  80 31</v>
      </c>
      <c r="G160" s="2792"/>
      <c r="H160" s="2799"/>
      <c r="I160" s="2936">
        <f>SUM(I161:I162)</f>
        <v>3724</v>
      </c>
      <c r="J160" s="2937">
        <f>SUM(J161:J162)</f>
        <v>3660</v>
      </c>
      <c r="K160" s="2795">
        <f t="shared" si="8"/>
        <v>98.28141783029001</v>
      </c>
      <c r="L160" s="217"/>
      <c r="M160" s="217"/>
      <c r="N160" s="217"/>
      <c r="O160" s="979"/>
    </row>
    <row r="161" spans="1:15" ht="48" customHeight="1">
      <c r="A161" s="160"/>
      <c r="B161" s="1170" t="s">
        <v>185</v>
      </c>
      <c r="C161" s="2831" t="str">
        <f>'Бюд.р.'!A540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161" s="2797" t="s">
        <v>591</v>
      </c>
      <c r="E161" s="1772" t="s">
        <v>766</v>
      </c>
      <c r="F161" s="1585" t="str">
        <f>'Бюд.р.'!D541</f>
        <v>002  80 31</v>
      </c>
      <c r="G161" s="2810">
        <f>'Бюд.р.'!F540</f>
        <v>100</v>
      </c>
      <c r="H161" s="2812"/>
      <c r="I161" s="2904">
        <v>3469</v>
      </c>
      <c r="J161" s="2884">
        <v>3443.4</v>
      </c>
      <c r="K161" s="2795">
        <f t="shared" si="8"/>
        <v>99.2620351686365</v>
      </c>
      <c r="L161" s="217"/>
      <c r="M161" s="217"/>
      <c r="N161" s="217"/>
      <c r="O161" s="979"/>
    </row>
    <row r="162" spans="1:15" ht="25.5" customHeight="1">
      <c r="A162" s="160"/>
      <c r="B162" s="1170" t="s">
        <v>186</v>
      </c>
      <c r="C162" s="2831" t="str">
        <f>'Бюд.р.'!A546</f>
        <v>Закупка товаров, работ и услуг  для государственных (муниципальных) нужд</v>
      </c>
      <c r="D162" s="2797">
        <f>'Бюд.р.'!B553</f>
        <v>968</v>
      </c>
      <c r="E162" s="1772">
        <f>'Бюд.р.'!C553</f>
        <v>1004</v>
      </c>
      <c r="F162" s="1585" t="str">
        <f>'Бюд.р.'!D553</f>
        <v>002 80 31</v>
      </c>
      <c r="G162" s="2810">
        <f>'Бюд.р.'!F546</f>
        <v>200</v>
      </c>
      <c r="H162" s="2812"/>
      <c r="I162" s="2904">
        <v>255</v>
      </c>
      <c r="J162" s="2884">
        <v>216.6</v>
      </c>
      <c r="K162" s="2795">
        <f t="shared" si="8"/>
        <v>84.94117647058823</v>
      </c>
      <c r="L162" s="217"/>
      <c r="M162" s="217"/>
      <c r="N162" s="217"/>
      <c r="O162" s="979"/>
    </row>
    <row r="163" spans="1:15" ht="48.75" customHeight="1">
      <c r="A163" s="160"/>
      <c r="B163" s="1173" t="s">
        <v>1193</v>
      </c>
      <c r="C163" s="2790" t="str">
        <f>'Бюд.р.'!A560</f>
        <v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v>
      </c>
      <c r="D163" s="2791" t="s">
        <v>591</v>
      </c>
      <c r="E163" s="2879" t="s">
        <v>766</v>
      </c>
      <c r="F163" s="2879" t="str">
        <f>'Бюд.р.'!D560</f>
        <v>511 80 32</v>
      </c>
      <c r="G163" s="2934"/>
      <c r="H163" s="2880"/>
      <c r="I163" s="2880">
        <f>I164</f>
        <v>8777.5</v>
      </c>
      <c r="J163" s="2881">
        <f>J164</f>
        <v>8696.2</v>
      </c>
      <c r="K163" s="2795">
        <f t="shared" si="8"/>
        <v>99.07376815722017</v>
      </c>
      <c r="L163" s="218" t="e">
        <f>#REF!+#REF!</f>
        <v>#REF!</v>
      </c>
      <c r="M163" s="218" t="e">
        <f>#REF!+#REF!</f>
        <v>#REF!</v>
      </c>
      <c r="N163" s="218" t="e">
        <f>#REF!+#REF!</f>
        <v>#REF!</v>
      </c>
      <c r="O163" s="218" t="e">
        <f>#REF!+#REF!</f>
        <v>#REF!</v>
      </c>
    </row>
    <row r="164" spans="1:15" ht="15.75" customHeight="1">
      <c r="A164" s="160"/>
      <c r="B164" s="1172" t="s">
        <v>185</v>
      </c>
      <c r="C164" s="2796" t="str">
        <f>'Бюд.р.'!A561</f>
        <v>Социальное обеспечение и иные выплаты населению</v>
      </c>
      <c r="D164" s="2797" t="s">
        <v>591</v>
      </c>
      <c r="E164" s="1772" t="s">
        <v>766</v>
      </c>
      <c r="F164" s="2938" t="str">
        <f>'Бюд.р.'!D561</f>
        <v>511 80 32</v>
      </c>
      <c r="G164" s="2939">
        <f>'Бюд.р.'!F561</f>
        <v>300</v>
      </c>
      <c r="H164" s="2940"/>
      <c r="I164" s="2926">
        <v>8777.5</v>
      </c>
      <c r="J164" s="2927">
        <v>8696.2</v>
      </c>
      <c r="K164" s="2814">
        <f t="shared" si="8"/>
        <v>99.07376815722017</v>
      </c>
      <c r="L164" s="219">
        <v>1470</v>
      </c>
      <c r="M164" s="130">
        <v>1500</v>
      </c>
      <c r="N164" s="130">
        <v>1515</v>
      </c>
      <c r="O164" s="243">
        <v>1515</v>
      </c>
    </row>
    <row r="165" spans="1:15" ht="45.75" customHeight="1">
      <c r="A165" s="597"/>
      <c r="B165" s="1173" t="s">
        <v>1194</v>
      </c>
      <c r="C165" s="2790" t="str">
        <f>'Бюд.р.'!A565</f>
        <v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v>
      </c>
      <c r="D165" s="2791" t="s">
        <v>591</v>
      </c>
      <c r="E165" s="2879" t="s">
        <v>766</v>
      </c>
      <c r="F165" s="2879" t="str">
        <f>'Бюд.р.'!D565</f>
        <v>511 80 33</v>
      </c>
      <c r="G165" s="2934"/>
      <c r="H165" s="2941"/>
      <c r="I165" s="2942">
        <f>I166</f>
        <v>2893.6</v>
      </c>
      <c r="J165" s="2943">
        <f>J166</f>
        <v>2765.3</v>
      </c>
      <c r="K165" s="2795">
        <f t="shared" si="8"/>
        <v>95.56607685927565</v>
      </c>
      <c r="L165" s="598"/>
      <c r="M165" s="598"/>
      <c r="N165" s="598"/>
      <c r="O165" s="198"/>
    </row>
    <row r="166" spans="1:15" ht="16.5" customHeight="1" thickBot="1">
      <c r="A166" s="597"/>
      <c r="B166" s="1172" t="s">
        <v>185</v>
      </c>
      <c r="C166" s="2944" t="str">
        <f>'Бюд.р.'!A566</f>
        <v>Социальное обеспечение и иные выплаты населению</v>
      </c>
      <c r="D166" s="2907" t="s">
        <v>591</v>
      </c>
      <c r="E166" s="2945" t="s">
        <v>766</v>
      </c>
      <c r="F166" s="2946" t="str">
        <f>'Бюд.р.'!D566</f>
        <v>511 80 33</v>
      </c>
      <c r="G166" s="2947">
        <f>'Бюд.р.'!F566</f>
        <v>300</v>
      </c>
      <c r="H166" s="2948"/>
      <c r="I166" s="2949">
        <v>2893.6</v>
      </c>
      <c r="J166" s="2950">
        <v>2765.3</v>
      </c>
      <c r="K166" s="2856">
        <f t="shared" si="8"/>
        <v>95.56607685927565</v>
      </c>
      <c r="L166" s="598"/>
      <c r="M166" s="598"/>
      <c r="N166" s="598"/>
      <c r="O166" s="198"/>
    </row>
    <row r="167" spans="1:15" ht="16.5" customHeight="1" thickBot="1">
      <c r="A167" s="597"/>
      <c r="B167" s="2417" t="s">
        <v>740</v>
      </c>
      <c r="C167" s="3036" t="str">
        <f>'Бюд.р.'!A578</f>
        <v> ФИЗИЧЕСКАЯ КУЛЬТУРА И СПОРТ</v>
      </c>
      <c r="D167" s="2783" t="s">
        <v>591</v>
      </c>
      <c r="E167" s="2892" t="s">
        <v>1308</v>
      </c>
      <c r="F167" s="3037"/>
      <c r="G167" s="3038"/>
      <c r="H167" s="3039"/>
      <c r="I167" s="3043">
        <f aca="true" t="shared" si="9" ref="I167:J169">I168</f>
        <v>3380.7</v>
      </c>
      <c r="J167" s="3044">
        <f t="shared" si="9"/>
        <v>3380.7</v>
      </c>
      <c r="K167" s="2788">
        <f t="shared" si="8"/>
        <v>100.00000000000001</v>
      </c>
      <c r="L167" s="598"/>
      <c r="M167" s="598"/>
      <c r="N167" s="598"/>
      <c r="O167" s="198"/>
    </row>
    <row r="168" spans="1:15" ht="16.5" customHeight="1">
      <c r="A168" s="597"/>
      <c r="B168" s="2413" t="s">
        <v>91</v>
      </c>
      <c r="C168" s="3042" t="str">
        <f>'Бюд.р.'!A579</f>
        <v>Массовый спорт</v>
      </c>
      <c r="D168" s="2893">
        <v>968</v>
      </c>
      <c r="E168" s="2894" t="s">
        <v>1309</v>
      </c>
      <c r="F168" s="3030"/>
      <c r="G168" s="3031"/>
      <c r="H168" s="3032"/>
      <c r="I168" s="3033">
        <f t="shared" si="9"/>
        <v>3380.7</v>
      </c>
      <c r="J168" s="3034">
        <f t="shared" si="9"/>
        <v>3380.7</v>
      </c>
      <c r="K168" s="2900">
        <f t="shared" si="8"/>
        <v>100.00000000000001</v>
      </c>
      <c r="L168" s="598"/>
      <c r="M168" s="598"/>
      <c r="N168" s="598"/>
      <c r="O168" s="198"/>
    </row>
    <row r="169" spans="1:15" ht="79.5" customHeight="1" thickBot="1">
      <c r="A169" s="279"/>
      <c r="B169" s="1173" t="s">
        <v>1034</v>
      </c>
      <c r="C169" s="2808" t="str">
        <f>'Бюд.р.'!A580</f>
        <v>Ведомственная целевая программа по  обеспечению условий для развития на территории муниципального образования физической культуры и массового спорта, по организации и проведению официальных физкультурных мероприятий, физкультурно-оздоровительных мероприятий и спортивных мероприятий МО</v>
      </c>
      <c r="D169" s="2791">
        <v>968</v>
      </c>
      <c r="E169" s="1582">
        <v>1102</v>
      </c>
      <c r="F169" s="1582" t="str">
        <f>'Бюд.р.'!D580</f>
        <v>795 10 00</v>
      </c>
      <c r="G169" s="2792"/>
      <c r="H169" s="2951"/>
      <c r="I169" s="2942">
        <f t="shared" si="9"/>
        <v>3380.7</v>
      </c>
      <c r="J169" s="2943">
        <f t="shared" si="9"/>
        <v>3380.7</v>
      </c>
      <c r="K169" s="2795">
        <f t="shared" si="8"/>
        <v>100.00000000000001</v>
      </c>
      <c r="L169" s="248"/>
      <c r="M169" s="248"/>
      <c r="N169" s="248"/>
      <c r="O169" s="360"/>
    </row>
    <row r="170" spans="1:15" ht="24" customHeight="1" thickBot="1">
      <c r="A170" s="279"/>
      <c r="B170" s="1172" t="s">
        <v>185</v>
      </c>
      <c r="C170" s="2857" t="str">
        <f>'Бюд.р.'!A581</f>
        <v>Закупка товаров, работ и услуг  для государственных (муниципальных) нужд</v>
      </c>
      <c r="D170" s="2850">
        <v>968</v>
      </c>
      <c r="E170" s="2851">
        <v>1102</v>
      </c>
      <c r="F170" s="2851" t="str">
        <f>'Бюд.р.'!D581</f>
        <v>795 10 00</v>
      </c>
      <c r="G170" s="2852">
        <f>'Бюд.р.'!F581</f>
        <v>200</v>
      </c>
      <c r="H170" s="2952"/>
      <c r="I170" s="2953">
        <v>3380.7</v>
      </c>
      <c r="J170" s="2954">
        <v>3380.7</v>
      </c>
      <c r="K170" s="2856">
        <f t="shared" si="8"/>
        <v>100.00000000000001</v>
      </c>
      <c r="L170" s="248"/>
      <c r="M170" s="248"/>
      <c r="N170" s="248"/>
      <c r="O170" s="360"/>
    </row>
    <row r="171" spans="1:15" ht="15.75" customHeight="1" thickBot="1">
      <c r="A171" s="279"/>
      <c r="B171" s="2417" t="s">
        <v>371</v>
      </c>
      <c r="C171" s="3036" t="str">
        <f>'Бюд.р.'!A592</f>
        <v>СРЕДСТВА МАССОВОЙ ИНФОРМАЦИИ</v>
      </c>
      <c r="D171" s="2783" t="s">
        <v>591</v>
      </c>
      <c r="E171" s="2892" t="s">
        <v>1307</v>
      </c>
      <c r="F171" s="3037"/>
      <c r="G171" s="3038"/>
      <c r="H171" s="3039"/>
      <c r="I171" s="3043">
        <f aca="true" t="shared" si="10" ref="I171:J173">I172</f>
        <v>1464.8</v>
      </c>
      <c r="J171" s="3044">
        <f t="shared" si="10"/>
        <v>1464.8</v>
      </c>
      <c r="K171" s="2788">
        <f t="shared" si="8"/>
        <v>100</v>
      </c>
      <c r="L171" s="248"/>
      <c r="M171" s="248"/>
      <c r="N171" s="248"/>
      <c r="O171" s="360"/>
    </row>
    <row r="172" spans="1:15" ht="14.25" customHeight="1" thickBot="1">
      <c r="A172" s="279"/>
      <c r="B172" s="2413" t="s">
        <v>92</v>
      </c>
      <c r="C172" s="3042" t="str">
        <f>'Бюд.р.'!A593</f>
        <v>Периодическая печать и издательства</v>
      </c>
      <c r="D172" s="2893">
        <v>968</v>
      </c>
      <c r="E172" s="2894" t="s">
        <v>1310</v>
      </c>
      <c r="F172" s="3030"/>
      <c r="G172" s="3031"/>
      <c r="H172" s="3032"/>
      <c r="I172" s="3033">
        <f t="shared" si="10"/>
        <v>1464.8</v>
      </c>
      <c r="J172" s="3034">
        <f t="shared" si="10"/>
        <v>1464.8</v>
      </c>
      <c r="K172" s="2900">
        <f t="shared" si="8"/>
        <v>100</v>
      </c>
      <c r="L172" s="248"/>
      <c r="M172" s="248"/>
      <c r="N172" s="248"/>
      <c r="O172" s="360"/>
    </row>
    <row r="173" spans="1:15" ht="23.25" customHeight="1" thickBot="1">
      <c r="A173" s="279"/>
      <c r="B173" s="1173" t="s">
        <v>93</v>
      </c>
      <c r="C173" s="2808" t="str">
        <f>'Бюд.р.'!A594</f>
        <v>ОПУБЛИКОВАНИЕ МУНИЦИПАЛЬНЫХ ПРАВОВЫХ АКТОВ, ИНОЙ ИНФОРМАЦИИ </v>
      </c>
      <c r="D173" s="2791">
        <v>968</v>
      </c>
      <c r="E173" s="1582">
        <v>1202</v>
      </c>
      <c r="F173" s="1582" t="s">
        <v>646</v>
      </c>
      <c r="G173" s="2792"/>
      <c r="H173" s="2880"/>
      <c r="I173" s="2880">
        <f t="shared" si="10"/>
        <v>1464.8</v>
      </c>
      <c r="J173" s="2881">
        <f t="shared" si="10"/>
        <v>1464.8</v>
      </c>
      <c r="K173" s="2795">
        <f t="shared" si="8"/>
        <v>100</v>
      </c>
      <c r="L173" s="248"/>
      <c r="M173" s="248"/>
      <c r="N173" s="248"/>
      <c r="O173" s="360"/>
    </row>
    <row r="174" spans="1:15" ht="25.5" customHeight="1" thickBot="1">
      <c r="A174" s="279"/>
      <c r="B174" s="1872" t="s">
        <v>185</v>
      </c>
      <c r="C174" s="2857" t="str">
        <f>'Бюд.р.'!A595</f>
        <v>Закупка товаров, работ и услуг  для государственных (муниципальных) нужд</v>
      </c>
      <c r="D174" s="2850">
        <v>968</v>
      </c>
      <c r="E174" s="2851">
        <v>1202</v>
      </c>
      <c r="F174" s="2851" t="s">
        <v>646</v>
      </c>
      <c r="G174" s="2852">
        <f>'Бюд.р.'!F595</f>
        <v>200</v>
      </c>
      <c r="H174" s="2949"/>
      <c r="I174" s="2949">
        <v>1464.8</v>
      </c>
      <c r="J174" s="2950">
        <v>1464.8</v>
      </c>
      <c r="K174" s="2856">
        <f t="shared" si="8"/>
        <v>100</v>
      </c>
      <c r="L174" s="248"/>
      <c r="M174" s="248"/>
      <c r="N174" s="248"/>
      <c r="O174" s="360"/>
    </row>
    <row r="175" spans="1:15" ht="20.25" customHeight="1" thickBot="1">
      <c r="A175" s="261" t="s">
        <v>679</v>
      </c>
      <c r="B175" s="1175"/>
      <c r="C175" s="2970" t="s">
        <v>294</v>
      </c>
      <c r="D175" s="2971"/>
      <c r="E175" s="2972"/>
      <c r="F175" s="2973"/>
      <c r="G175" s="2974"/>
      <c r="H175" s="2975"/>
      <c r="I175" s="2739">
        <f>I20+I48</f>
        <v>120999.99999999999</v>
      </c>
      <c r="J175" s="2759">
        <f>J20+J48</f>
        <v>117790.9</v>
      </c>
      <c r="K175" s="2976">
        <f t="shared" si="8"/>
        <v>97.34785123966944</v>
      </c>
      <c r="L175" s="281" t="e">
        <f>L20</f>
        <v>#REF!</v>
      </c>
      <c r="M175" s="281" t="e">
        <f>M20</f>
        <v>#REF!</v>
      </c>
      <c r="N175" s="281" t="e">
        <f>N20</f>
        <v>#REF!</v>
      </c>
      <c r="O175" s="281" t="e">
        <f>O20</f>
        <v>#REF!</v>
      </c>
    </row>
    <row r="176" spans="1:15" ht="12.75" hidden="1">
      <c r="A176" s="48" t="s">
        <v>100</v>
      </c>
      <c r="B176" s="231"/>
      <c r="C176" s="232" t="s">
        <v>258</v>
      </c>
      <c r="D176" s="233"/>
      <c r="E176" s="234" t="s">
        <v>766</v>
      </c>
      <c r="F176" s="235" t="s">
        <v>418</v>
      </c>
      <c r="G176" s="235">
        <v>755</v>
      </c>
      <c r="H176" s="234" t="s">
        <v>242</v>
      </c>
      <c r="I176" s="2734"/>
      <c r="J176" s="2734"/>
      <c r="K176" s="225">
        <f aca="true" t="shared" si="11" ref="K176:K194">SUM(L176:O176)</f>
        <v>0</v>
      </c>
      <c r="L176" s="236"/>
      <c r="M176" s="236"/>
      <c r="N176" s="236"/>
      <c r="O176" s="236"/>
    </row>
    <row r="177" spans="1:15" ht="23.25" hidden="1" thickBot="1">
      <c r="A177" s="51" t="s">
        <v>651</v>
      </c>
      <c r="B177" s="170"/>
      <c r="C177" s="171" t="s">
        <v>767</v>
      </c>
      <c r="D177" s="26"/>
      <c r="E177" s="13" t="s">
        <v>766</v>
      </c>
      <c r="F177" s="13" t="s">
        <v>418</v>
      </c>
      <c r="G177" s="13" t="s">
        <v>290</v>
      </c>
      <c r="H177" s="13" t="s">
        <v>291</v>
      </c>
      <c r="I177" s="674"/>
      <c r="J177" s="674"/>
      <c r="K177" s="201">
        <f t="shared" si="11"/>
        <v>0</v>
      </c>
      <c r="L177" s="198"/>
      <c r="M177" s="198"/>
      <c r="N177" s="198"/>
      <c r="O177" s="198"/>
    </row>
    <row r="178" spans="1:15" ht="21" customHeight="1" hidden="1" thickBot="1">
      <c r="A178" s="161"/>
      <c r="B178" s="1176"/>
      <c r="C178" s="175" t="s">
        <v>294</v>
      </c>
      <c r="D178" s="173"/>
      <c r="E178" s="174"/>
      <c r="F178" s="174"/>
      <c r="G178" s="174"/>
      <c r="H178" s="174"/>
      <c r="I178" s="2735"/>
      <c r="J178" s="2735"/>
      <c r="K178" s="201">
        <f t="shared" si="11"/>
        <v>0</v>
      </c>
      <c r="L178" s="199"/>
      <c r="M178" s="199"/>
      <c r="N178" s="199"/>
      <c r="O178" s="199"/>
    </row>
    <row r="179" spans="3:15" ht="12.75" hidden="1">
      <c r="C179" t="s">
        <v>798</v>
      </c>
      <c r="K179" s="201">
        <f t="shared" si="11"/>
        <v>0</v>
      </c>
      <c r="L179" s="38"/>
      <c r="M179" s="38"/>
      <c r="N179" s="38"/>
      <c r="O179" s="38"/>
    </row>
    <row r="180" spans="3:15" ht="12.75" hidden="1">
      <c r="C180" s="27" t="s">
        <v>776</v>
      </c>
      <c r="D180" s="27"/>
      <c r="E180" s="27"/>
      <c r="F180" s="27"/>
      <c r="G180" s="27"/>
      <c r="H180" s="27"/>
      <c r="I180" s="27"/>
      <c r="J180" s="27"/>
      <c r="K180" s="201">
        <f t="shared" si="11"/>
        <v>0</v>
      </c>
      <c r="L180" s="27"/>
      <c r="M180" s="27"/>
      <c r="N180" s="27"/>
      <c r="O180" s="27"/>
    </row>
    <row r="181" spans="3:11" ht="12.75" hidden="1">
      <c r="C181" t="s">
        <v>797</v>
      </c>
      <c r="K181" s="201">
        <f t="shared" si="11"/>
        <v>0</v>
      </c>
    </row>
    <row r="182" spans="3:11" ht="12.75" hidden="1">
      <c r="C182" t="s">
        <v>775</v>
      </c>
      <c r="K182" s="201">
        <f t="shared" si="11"/>
        <v>0</v>
      </c>
    </row>
    <row r="183" spans="3:11" ht="12.75" hidden="1">
      <c r="C183" t="s">
        <v>774</v>
      </c>
      <c r="K183" s="201">
        <f t="shared" si="11"/>
        <v>0</v>
      </c>
    </row>
    <row r="184" ht="12.75" hidden="1">
      <c r="K184" s="201">
        <f t="shared" si="11"/>
        <v>0</v>
      </c>
    </row>
    <row r="185" spans="3:15" ht="12.75" hidden="1">
      <c r="C185" s="121" t="s">
        <v>779</v>
      </c>
      <c r="D185" s="87"/>
      <c r="E185" s="87"/>
      <c r="F185" s="87"/>
      <c r="G185" s="87"/>
      <c r="H185" s="87"/>
      <c r="I185" s="38"/>
      <c r="J185" s="38"/>
      <c r="K185" s="201">
        <f t="shared" si="11"/>
        <v>0</v>
      </c>
      <c r="L185" s="87"/>
      <c r="M185" s="87"/>
      <c r="N185" s="87"/>
      <c r="O185" s="87"/>
    </row>
    <row r="186" spans="3:15" ht="12.75" hidden="1">
      <c r="C186" s="117" t="s">
        <v>777</v>
      </c>
      <c r="D186" s="38"/>
      <c r="E186" s="38"/>
      <c r="F186" s="38" t="e">
        <f>#REF!-#REF!</f>
        <v>#REF!</v>
      </c>
      <c r="G186" s="38"/>
      <c r="H186" s="38"/>
      <c r="I186" s="38"/>
      <c r="J186" s="38"/>
      <c r="K186" s="201">
        <f t="shared" si="11"/>
        <v>0</v>
      </c>
      <c r="L186" s="38"/>
      <c r="M186" s="38"/>
      <c r="N186" s="38"/>
      <c r="O186" s="38"/>
    </row>
    <row r="187" spans="3:15" ht="13.5" hidden="1" thickBot="1">
      <c r="C187" s="118" t="s">
        <v>773</v>
      </c>
      <c r="D187" s="119"/>
      <c r="E187" s="119"/>
      <c r="F187" s="38" t="e">
        <f>#REF!-#REF!</f>
        <v>#REF!</v>
      </c>
      <c r="G187" s="119"/>
      <c r="H187" s="119"/>
      <c r="I187" s="38"/>
      <c r="J187" s="38"/>
      <c r="K187" s="201">
        <f t="shared" si="11"/>
        <v>0</v>
      </c>
      <c r="L187" s="119"/>
      <c r="M187" s="119"/>
      <c r="N187" s="119"/>
      <c r="O187" s="119"/>
    </row>
    <row r="188" spans="3:15" ht="12.75" hidden="1">
      <c r="C188" s="121" t="s">
        <v>778</v>
      </c>
      <c r="D188" s="87"/>
      <c r="E188" s="87"/>
      <c r="F188" s="87"/>
      <c r="G188" s="87"/>
      <c r="H188" s="87"/>
      <c r="I188" s="38"/>
      <c r="J188" s="38"/>
      <c r="K188" s="201">
        <f t="shared" si="11"/>
        <v>0</v>
      </c>
      <c r="L188" s="87"/>
      <c r="M188" s="87"/>
      <c r="N188" s="87"/>
      <c r="O188" s="87"/>
    </row>
    <row r="189" spans="3:15" ht="12.75" hidden="1">
      <c r="C189" s="117" t="s">
        <v>777</v>
      </c>
      <c r="D189" s="38"/>
      <c r="E189" s="38"/>
      <c r="F189" s="115" t="e">
        <f>#REF!-#REF!</f>
        <v>#REF!</v>
      </c>
      <c r="G189" s="38"/>
      <c r="H189" s="38"/>
      <c r="I189" s="38"/>
      <c r="J189" s="38"/>
      <c r="K189" s="201">
        <f t="shared" si="11"/>
        <v>0</v>
      </c>
      <c r="L189" s="115"/>
      <c r="M189" s="115"/>
      <c r="N189" s="115"/>
      <c r="O189" s="115"/>
    </row>
    <row r="190" spans="3:15" ht="13.5" hidden="1" thickBot="1">
      <c r="C190" s="118" t="s">
        <v>773</v>
      </c>
      <c r="D190" s="119"/>
      <c r="E190" s="119"/>
      <c r="F190" s="120" t="e">
        <f>#REF!-#REF!</f>
        <v>#REF!</v>
      </c>
      <c r="G190" s="119"/>
      <c r="H190" s="119"/>
      <c r="I190" s="38"/>
      <c r="J190" s="38"/>
      <c r="K190" s="201">
        <f t="shared" si="11"/>
        <v>0</v>
      </c>
      <c r="L190" s="120"/>
      <c r="M190" s="120"/>
      <c r="N190" s="120"/>
      <c r="O190" s="120"/>
    </row>
    <row r="191" spans="11:15" ht="12.75" hidden="1">
      <c r="K191" s="201">
        <f t="shared" si="11"/>
        <v>0</v>
      </c>
      <c r="L191" s="116"/>
      <c r="M191" s="116"/>
      <c r="N191" s="116"/>
      <c r="O191" s="116"/>
    </row>
    <row r="192" spans="3:11" ht="12.75" hidden="1">
      <c r="C192" t="s">
        <v>315</v>
      </c>
      <c r="K192" s="201">
        <f t="shared" si="11"/>
        <v>0</v>
      </c>
    </row>
    <row r="193" spans="3:11" ht="12.75" hidden="1">
      <c r="C193" t="s">
        <v>316</v>
      </c>
      <c r="K193" s="201">
        <f t="shared" si="11"/>
        <v>0</v>
      </c>
    </row>
    <row r="194" spans="3:11" ht="12.75" hidden="1">
      <c r="C194" t="s">
        <v>317</v>
      </c>
      <c r="K194" s="280">
        <f t="shared" si="11"/>
        <v>0</v>
      </c>
    </row>
    <row r="195" spans="2:15" ht="12.75">
      <c r="B195" s="1178"/>
      <c r="C195" s="38"/>
      <c r="D195" s="38"/>
      <c r="E195" s="38"/>
      <c r="F195" s="38"/>
      <c r="G195" s="38"/>
      <c r="H195" s="38"/>
      <c r="I195" s="38"/>
      <c r="J195" s="38"/>
      <c r="K195" s="278"/>
      <c r="L195" s="38"/>
      <c r="M195" s="38"/>
      <c r="N195" s="38"/>
      <c r="O195" s="38"/>
    </row>
  </sheetData>
  <sheetProtection/>
  <mergeCells count="5">
    <mergeCell ref="G1:K1"/>
    <mergeCell ref="B1:C1"/>
    <mergeCell ref="C6:K6"/>
    <mergeCell ref="B5:K5"/>
    <mergeCell ref="B4:K4"/>
  </mergeCells>
  <printOptions/>
  <pageMargins left="0.53" right="0.24" top="0.71" bottom="0.61" header="0.17" footer="0.3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C42">
      <selection activeCell="G24" sqref="G24:G33"/>
    </sheetView>
  </sheetViews>
  <sheetFormatPr defaultColWidth="9.00390625" defaultRowHeight="12.75"/>
  <cols>
    <col min="1" max="1" width="6.25390625" style="0" customWidth="1"/>
    <col min="2" max="2" width="20.25390625" style="0" customWidth="1"/>
    <col min="3" max="3" width="54.00390625" style="0" customWidth="1"/>
    <col min="4" max="4" width="8.25390625" style="0" customWidth="1"/>
    <col min="5" max="5" width="7.625" style="0" customWidth="1"/>
    <col min="6" max="6" width="6.875" style="0" customWidth="1"/>
    <col min="7" max="7" width="6.625" style="0" customWidth="1"/>
    <col min="8" max="8" width="8.25390625" style="0" customWidth="1"/>
    <col min="9" max="9" width="6.75390625" style="0" customWidth="1"/>
  </cols>
  <sheetData>
    <row r="1" spans="1:10" ht="13.5" thickBot="1">
      <c r="A1" s="3160" t="s">
        <v>756</v>
      </c>
      <c r="B1" s="3161"/>
      <c r="C1" s="3161"/>
      <c r="D1" s="3161"/>
      <c r="E1" s="3161"/>
      <c r="F1" s="3161"/>
      <c r="G1" s="3161"/>
      <c r="H1" s="3161"/>
      <c r="I1" s="87"/>
      <c r="J1" s="469"/>
    </row>
    <row r="2" spans="1:10" ht="24.75" customHeight="1">
      <c r="A2" s="470"/>
      <c r="B2" s="3169" t="s">
        <v>486</v>
      </c>
      <c r="C2" s="3171" t="s">
        <v>770</v>
      </c>
      <c r="D2" s="3162" t="s">
        <v>757</v>
      </c>
      <c r="E2" s="3166" t="s">
        <v>758</v>
      </c>
      <c r="F2" s="3164" t="s">
        <v>484</v>
      </c>
      <c r="G2" s="3162" t="s">
        <v>482</v>
      </c>
      <c r="H2" s="3163"/>
      <c r="I2" s="3162" t="s">
        <v>483</v>
      </c>
      <c r="J2" s="3164"/>
    </row>
    <row r="3" spans="1:10" ht="47.25" customHeight="1" thickBot="1">
      <c r="A3" s="470"/>
      <c r="B3" s="3170"/>
      <c r="C3" s="3172"/>
      <c r="D3" s="3165"/>
      <c r="E3" s="3167"/>
      <c r="F3" s="3168"/>
      <c r="G3" s="494" t="s">
        <v>485</v>
      </c>
      <c r="H3" s="496" t="s">
        <v>268</v>
      </c>
      <c r="I3" s="494" t="s">
        <v>485</v>
      </c>
      <c r="J3" s="495" t="s">
        <v>268</v>
      </c>
    </row>
    <row r="4" spans="1:10" ht="25.5">
      <c r="A4" s="497" t="s">
        <v>155</v>
      </c>
      <c r="B4" s="482" t="s">
        <v>156</v>
      </c>
      <c r="C4" s="471" t="s">
        <v>337</v>
      </c>
      <c r="D4" s="528">
        <v>4885.105</v>
      </c>
      <c r="E4" s="529">
        <v>5471.317</v>
      </c>
      <c r="F4" s="530">
        <f>E4/D4%</f>
        <v>111.99998771776657</v>
      </c>
      <c r="G4" s="551">
        <f>H4/E4%</f>
        <v>349.82436587022835</v>
      </c>
      <c r="H4" s="527">
        <f>кв!D31</f>
        <v>19140</v>
      </c>
      <c r="I4" s="539">
        <v>110</v>
      </c>
      <c r="J4" s="540">
        <f>E4*I4%</f>
        <v>6018.448700000001</v>
      </c>
    </row>
    <row r="5" spans="1:10" ht="38.25">
      <c r="A5" s="497" t="s">
        <v>155</v>
      </c>
      <c r="B5" s="483" t="s">
        <v>201</v>
      </c>
      <c r="C5" s="427" t="s">
        <v>338</v>
      </c>
      <c r="D5" s="491">
        <v>1221.087</v>
      </c>
      <c r="E5" s="393">
        <v>1379.828</v>
      </c>
      <c r="F5" s="531">
        <f aca="true" t="shared" si="0" ref="F5:F44">E5/D5%</f>
        <v>112.99997461278353</v>
      </c>
      <c r="G5" s="536">
        <f aca="true" t="shared" si="1" ref="G5:G44">H5/E5%</f>
        <v>430.3869757679943</v>
      </c>
      <c r="H5" s="522">
        <f>кв!D34</f>
        <v>5938.6</v>
      </c>
      <c r="I5" s="541">
        <v>110</v>
      </c>
      <c r="J5" s="542">
        <f aca="true" t="shared" si="2" ref="J5:J44">E5*I5%</f>
        <v>1517.8108000000002</v>
      </c>
    </row>
    <row r="6" spans="1:10" ht="12.75">
      <c r="A6" s="498" t="s">
        <v>155</v>
      </c>
      <c r="B6" s="484" t="s">
        <v>490</v>
      </c>
      <c r="C6" s="472" t="s">
        <v>271</v>
      </c>
      <c r="D6" s="491">
        <v>22038.18</v>
      </c>
      <c r="E6" s="393">
        <v>23580.852</v>
      </c>
      <c r="F6" s="531">
        <f t="shared" si="0"/>
        <v>106.99999727745212</v>
      </c>
      <c r="G6" s="536">
        <f t="shared" si="1"/>
        <v>141.35621562783228</v>
      </c>
      <c r="H6" s="523">
        <f>кв!D39</f>
        <v>33333</v>
      </c>
      <c r="I6" s="541">
        <v>110</v>
      </c>
      <c r="J6" s="542">
        <f t="shared" si="2"/>
        <v>25938.9372</v>
      </c>
    </row>
    <row r="7" spans="1:10" ht="28.5" hidden="1">
      <c r="A7" s="499" t="s">
        <v>154</v>
      </c>
      <c r="B7" s="510" t="s">
        <v>157</v>
      </c>
      <c r="C7" s="426" t="s">
        <v>272</v>
      </c>
      <c r="D7" s="543"/>
      <c r="E7" s="544"/>
      <c r="F7" s="531" t="e">
        <f t="shared" si="0"/>
        <v>#DIV/0!</v>
      </c>
      <c r="G7" s="536" t="e">
        <f t="shared" si="1"/>
        <v>#REF!</v>
      </c>
      <c r="H7" s="545" t="e">
        <f>SUM(#REF!)</f>
        <v>#REF!</v>
      </c>
      <c r="I7" s="541">
        <v>110</v>
      </c>
      <c r="J7" s="542">
        <f t="shared" si="2"/>
        <v>0</v>
      </c>
    </row>
    <row r="8" spans="1:10" ht="12.75" hidden="1">
      <c r="A8" s="500" t="s">
        <v>155</v>
      </c>
      <c r="B8" s="485" t="s">
        <v>603</v>
      </c>
      <c r="C8" s="473" t="s">
        <v>273</v>
      </c>
      <c r="D8" s="546"/>
      <c r="E8" s="547"/>
      <c r="F8" s="531" t="e">
        <f t="shared" si="0"/>
        <v>#DIV/0!</v>
      </c>
      <c r="G8" s="536" t="e">
        <f t="shared" si="1"/>
        <v>#REF!</v>
      </c>
      <c r="H8" s="525" t="e">
        <f>SUM(#REF!)</f>
        <v>#REF!</v>
      </c>
      <c r="I8" s="541">
        <v>110</v>
      </c>
      <c r="J8" s="542">
        <f t="shared" si="2"/>
        <v>0</v>
      </c>
    </row>
    <row r="9" spans="1:10" ht="63.75">
      <c r="A9" s="501" t="s">
        <v>155</v>
      </c>
      <c r="B9" s="483" t="s">
        <v>491</v>
      </c>
      <c r="C9" s="427" t="s">
        <v>735</v>
      </c>
      <c r="D9" s="491">
        <v>19788.44</v>
      </c>
      <c r="E9" s="393">
        <v>21292.361</v>
      </c>
      <c r="F9" s="531">
        <f t="shared" si="0"/>
        <v>107.59999777647961</v>
      </c>
      <c r="G9" s="536">
        <f t="shared" si="1"/>
        <v>199.13197977434257</v>
      </c>
      <c r="H9" s="523">
        <f>кв!D46</f>
        <v>42399.9</v>
      </c>
      <c r="I9" s="541">
        <v>110</v>
      </c>
      <c r="J9" s="542">
        <f t="shared" si="2"/>
        <v>23421.597100000003</v>
      </c>
    </row>
    <row r="10" spans="1:10" ht="28.5" hidden="1">
      <c r="A10" s="502" t="s">
        <v>154</v>
      </c>
      <c r="B10" s="510" t="s">
        <v>116</v>
      </c>
      <c r="C10" s="426" t="s">
        <v>471</v>
      </c>
      <c r="D10" s="543"/>
      <c r="E10" s="544"/>
      <c r="F10" s="531" t="e">
        <f t="shared" si="0"/>
        <v>#DIV/0!</v>
      </c>
      <c r="G10" s="536" t="e">
        <f t="shared" si="1"/>
        <v>#REF!</v>
      </c>
      <c r="H10" s="545" t="e">
        <f>H11</f>
        <v>#REF!</v>
      </c>
      <c r="I10" s="541">
        <v>110</v>
      </c>
      <c r="J10" s="542">
        <f t="shared" si="2"/>
        <v>0</v>
      </c>
    </row>
    <row r="11" spans="1:10" ht="12.75" hidden="1">
      <c r="A11" s="503" t="s">
        <v>154</v>
      </c>
      <c r="B11" s="486" t="s">
        <v>746</v>
      </c>
      <c r="C11" s="473" t="s">
        <v>747</v>
      </c>
      <c r="D11" s="546"/>
      <c r="E11" s="547"/>
      <c r="F11" s="531" t="e">
        <f t="shared" si="0"/>
        <v>#DIV/0!</v>
      </c>
      <c r="G11" s="536" t="e">
        <f t="shared" si="1"/>
        <v>#REF!</v>
      </c>
      <c r="H11" s="525" t="e">
        <f>SUM(#REF!)</f>
        <v>#REF!</v>
      </c>
      <c r="I11" s="541">
        <v>110</v>
      </c>
      <c r="J11" s="542">
        <f t="shared" si="2"/>
        <v>0</v>
      </c>
    </row>
    <row r="12" spans="1:10" ht="25.5">
      <c r="A12" s="504" t="s">
        <v>155</v>
      </c>
      <c r="B12" s="487" t="s">
        <v>198</v>
      </c>
      <c r="C12" s="427" t="s">
        <v>274</v>
      </c>
      <c r="D12" s="491">
        <v>35</v>
      </c>
      <c r="E12" s="393">
        <v>45.85</v>
      </c>
      <c r="F12" s="531">
        <f t="shared" si="0"/>
        <v>131</v>
      </c>
      <c r="G12" s="536">
        <f t="shared" si="1"/>
        <v>21.810250817884405</v>
      </c>
      <c r="H12" s="525">
        <f>кв!D49</f>
        <v>10</v>
      </c>
      <c r="I12" s="541">
        <v>110</v>
      </c>
      <c r="J12" s="542">
        <f t="shared" si="2"/>
        <v>50.435</v>
      </c>
    </row>
    <row r="13" spans="1:10" ht="15.75" hidden="1">
      <c r="A13" s="505"/>
      <c r="B13" s="511"/>
      <c r="C13" s="474" t="s">
        <v>480</v>
      </c>
      <c r="D13" s="533"/>
      <c r="E13" s="534"/>
      <c r="F13" s="531" t="e">
        <f t="shared" si="0"/>
        <v>#DIV/0!</v>
      </c>
      <c r="G13" s="532" t="e">
        <f t="shared" si="1"/>
        <v>#DIV/0!</v>
      </c>
      <c r="H13" s="526"/>
      <c r="I13" s="541">
        <v>110</v>
      </c>
      <c r="J13" s="542">
        <f t="shared" si="2"/>
        <v>0</v>
      </c>
    </row>
    <row r="14" spans="1:10" ht="36" hidden="1">
      <c r="A14" s="499" t="s">
        <v>154</v>
      </c>
      <c r="B14" s="510" t="s">
        <v>122</v>
      </c>
      <c r="C14" s="426" t="s">
        <v>123</v>
      </c>
      <c r="D14" s="543"/>
      <c r="E14" s="544"/>
      <c r="F14" s="531" t="e">
        <f t="shared" si="0"/>
        <v>#DIV/0!</v>
      </c>
      <c r="G14" s="532" t="e">
        <f t="shared" si="1"/>
        <v>#REF!</v>
      </c>
      <c r="H14" s="545" t="e">
        <f>H15+H18</f>
        <v>#REF!</v>
      </c>
      <c r="I14" s="541">
        <v>110</v>
      </c>
      <c r="J14" s="542">
        <f t="shared" si="2"/>
        <v>0</v>
      </c>
    </row>
    <row r="15" spans="1:10" ht="24" hidden="1">
      <c r="A15" s="503" t="s">
        <v>591</v>
      </c>
      <c r="B15" s="486" t="s">
        <v>124</v>
      </c>
      <c r="C15" s="475" t="s">
        <v>125</v>
      </c>
      <c r="D15" s="548"/>
      <c r="E15" s="549"/>
      <c r="F15" s="531" t="e">
        <f t="shared" si="0"/>
        <v>#DIV/0!</v>
      </c>
      <c r="G15" s="532" t="e">
        <f t="shared" si="1"/>
        <v>#REF!</v>
      </c>
      <c r="H15" s="468" t="e">
        <f>H17</f>
        <v>#REF!</v>
      </c>
      <c r="I15" s="541">
        <v>110</v>
      </c>
      <c r="J15" s="542">
        <f t="shared" si="2"/>
        <v>0</v>
      </c>
    </row>
    <row r="16" spans="1:10" ht="89.25" hidden="1">
      <c r="A16" s="504" t="s">
        <v>591</v>
      </c>
      <c r="B16" s="487" t="s">
        <v>196</v>
      </c>
      <c r="C16" s="476" t="s">
        <v>640</v>
      </c>
      <c r="D16" s="488"/>
      <c r="E16" s="392"/>
      <c r="F16" s="531" t="e">
        <f t="shared" si="0"/>
        <v>#DIV/0!</v>
      </c>
      <c r="G16" s="532" t="e">
        <f t="shared" si="1"/>
        <v>#REF!</v>
      </c>
      <c r="H16" s="468" t="e">
        <f>H17</f>
        <v>#REF!</v>
      </c>
      <c r="I16" s="541">
        <v>110</v>
      </c>
      <c r="J16" s="542">
        <f t="shared" si="2"/>
        <v>0</v>
      </c>
    </row>
    <row r="17" spans="1:10" ht="60" hidden="1">
      <c r="A17" s="504" t="s">
        <v>591</v>
      </c>
      <c r="B17" s="488" t="s">
        <v>126</v>
      </c>
      <c r="C17" s="477" t="s">
        <v>364</v>
      </c>
      <c r="D17" s="488"/>
      <c r="E17" s="392"/>
      <c r="F17" s="531" t="e">
        <f t="shared" si="0"/>
        <v>#DIV/0!</v>
      </c>
      <c r="G17" s="532" t="e">
        <f t="shared" si="1"/>
        <v>#REF!</v>
      </c>
      <c r="H17" s="468" t="e">
        <f>SUM(#REF!)</f>
        <v>#REF!</v>
      </c>
      <c r="I17" s="541">
        <v>110</v>
      </c>
      <c r="J17" s="542">
        <f t="shared" si="2"/>
        <v>0</v>
      </c>
    </row>
    <row r="18" spans="1:10" ht="24" hidden="1">
      <c r="A18" s="503" t="s">
        <v>591</v>
      </c>
      <c r="B18" s="486" t="s">
        <v>127</v>
      </c>
      <c r="C18" s="475" t="s">
        <v>128</v>
      </c>
      <c r="D18" s="548"/>
      <c r="E18" s="549"/>
      <c r="F18" s="531" t="e">
        <f t="shared" si="0"/>
        <v>#DIV/0!</v>
      </c>
      <c r="G18" s="532" t="e">
        <f t="shared" si="1"/>
        <v>#REF!</v>
      </c>
      <c r="H18" s="468" t="e">
        <f>H19</f>
        <v>#REF!</v>
      </c>
      <c r="I18" s="541">
        <v>110</v>
      </c>
      <c r="J18" s="542">
        <f t="shared" si="2"/>
        <v>0</v>
      </c>
    </row>
    <row r="19" spans="1:10" ht="38.25" hidden="1">
      <c r="A19" s="504" t="s">
        <v>591</v>
      </c>
      <c r="B19" s="487" t="s">
        <v>129</v>
      </c>
      <c r="C19" s="476" t="s">
        <v>130</v>
      </c>
      <c r="D19" s="488"/>
      <c r="E19" s="392"/>
      <c r="F19" s="531" t="e">
        <f t="shared" si="0"/>
        <v>#DIV/0!</v>
      </c>
      <c r="G19" s="532" t="e">
        <f t="shared" si="1"/>
        <v>#REF!</v>
      </c>
      <c r="H19" s="468" t="e">
        <f>H20</f>
        <v>#REF!</v>
      </c>
      <c r="I19" s="541">
        <v>110</v>
      </c>
      <c r="J19" s="542">
        <f t="shared" si="2"/>
        <v>0</v>
      </c>
    </row>
    <row r="20" spans="1:10" ht="60" hidden="1">
      <c r="A20" s="506" t="s">
        <v>591</v>
      </c>
      <c r="B20" s="488" t="s">
        <v>131</v>
      </c>
      <c r="C20" s="477" t="s">
        <v>365</v>
      </c>
      <c r="D20" s="488"/>
      <c r="E20" s="392"/>
      <c r="F20" s="531" t="e">
        <f t="shared" si="0"/>
        <v>#DIV/0!</v>
      </c>
      <c r="G20" s="532" t="e">
        <f t="shared" si="1"/>
        <v>#REF!</v>
      </c>
      <c r="H20" s="468" t="e">
        <f>SUM(#REF!)</f>
        <v>#REF!</v>
      </c>
      <c r="I20" s="541">
        <v>110</v>
      </c>
      <c r="J20" s="542">
        <f t="shared" si="2"/>
        <v>0</v>
      </c>
    </row>
    <row r="21" spans="1:10" ht="28.5" hidden="1">
      <c r="A21" s="499" t="s">
        <v>154</v>
      </c>
      <c r="B21" s="510" t="s">
        <v>802</v>
      </c>
      <c r="C21" s="426" t="s">
        <v>801</v>
      </c>
      <c r="D21" s="543"/>
      <c r="E21" s="544"/>
      <c r="F21" s="531" t="e">
        <f t="shared" si="0"/>
        <v>#DIV/0!</v>
      </c>
      <c r="G21" s="532" t="e">
        <f t="shared" si="1"/>
        <v>#REF!</v>
      </c>
      <c r="H21" s="545" t="e">
        <f>H22</f>
        <v>#REF!</v>
      </c>
      <c r="I21" s="541">
        <v>110</v>
      </c>
      <c r="J21" s="542">
        <f t="shared" si="2"/>
        <v>0</v>
      </c>
    </row>
    <row r="22" spans="1:10" ht="24" hidden="1">
      <c r="A22" s="503" t="s">
        <v>154</v>
      </c>
      <c r="B22" s="486" t="s">
        <v>803</v>
      </c>
      <c r="C22" s="475" t="s">
        <v>804</v>
      </c>
      <c r="D22" s="548"/>
      <c r="E22" s="549"/>
      <c r="F22" s="531" t="e">
        <f t="shared" si="0"/>
        <v>#DIV/0!</v>
      </c>
      <c r="G22" s="532" t="e">
        <f t="shared" si="1"/>
        <v>#REF!</v>
      </c>
      <c r="H22" s="468" t="e">
        <f>H23</f>
        <v>#REF!</v>
      </c>
      <c r="I22" s="541">
        <v>110</v>
      </c>
      <c r="J22" s="542">
        <f t="shared" si="2"/>
        <v>0</v>
      </c>
    </row>
    <row r="23" spans="1:10" ht="76.5" hidden="1">
      <c r="A23" s="504" t="s">
        <v>154</v>
      </c>
      <c r="B23" s="487" t="s">
        <v>806</v>
      </c>
      <c r="C23" s="476" t="s">
        <v>366</v>
      </c>
      <c r="D23" s="488"/>
      <c r="E23" s="392"/>
      <c r="F23" s="531" t="e">
        <f t="shared" si="0"/>
        <v>#DIV/0!</v>
      </c>
      <c r="G23" s="532" t="e">
        <f t="shared" si="1"/>
        <v>#REF!</v>
      </c>
      <c r="H23" s="468" t="e">
        <f>SUM(H24:H25)</f>
        <v>#REF!</v>
      </c>
      <c r="I23" s="541">
        <v>110</v>
      </c>
      <c r="J23" s="542">
        <f t="shared" si="2"/>
        <v>0</v>
      </c>
    </row>
    <row r="24" spans="1:10" ht="60">
      <c r="A24" s="506" t="s">
        <v>805</v>
      </c>
      <c r="B24" s="488" t="s">
        <v>367</v>
      </c>
      <c r="C24" s="478" t="s">
        <v>368</v>
      </c>
      <c r="D24" s="489">
        <v>1469.7</v>
      </c>
      <c r="E24" s="490">
        <v>1518.9</v>
      </c>
      <c r="F24" s="535">
        <f t="shared" si="0"/>
        <v>103.34762196366606</v>
      </c>
      <c r="G24" s="536">
        <f t="shared" si="1"/>
        <v>59.253407070906576</v>
      </c>
      <c r="H24" s="519">
        <f>кв!D62</f>
        <v>900</v>
      </c>
      <c r="I24" s="541">
        <v>110</v>
      </c>
      <c r="J24" s="542">
        <f t="shared" si="2"/>
        <v>1670.7900000000002</v>
      </c>
    </row>
    <row r="25" spans="1:10" ht="48" hidden="1">
      <c r="A25" s="506" t="s">
        <v>154</v>
      </c>
      <c r="B25" s="488" t="s">
        <v>650</v>
      </c>
      <c r="C25" s="478" t="s">
        <v>649</v>
      </c>
      <c r="D25" s="489"/>
      <c r="E25" s="490"/>
      <c r="F25" s="531" t="e">
        <f t="shared" si="0"/>
        <v>#DIV/0!</v>
      </c>
      <c r="G25" s="536" t="e">
        <f t="shared" si="1"/>
        <v>#REF!</v>
      </c>
      <c r="H25" s="519" t="e">
        <f>SUM(#REF!)</f>
        <v>#REF!</v>
      </c>
      <c r="I25" s="541">
        <v>110</v>
      </c>
      <c r="J25" s="542">
        <f t="shared" si="2"/>
        <v>0</v>
      </c>
    </row>
    <row r="26" spans="1:10" ht="28.5" hidden="1">
      <c r="A26" s="499" t="s">
        <v>154</v>
      </c>
      <c r="B26" s="510" t="s">
        <v>117</v>
      </c>
      <c r="C26" s="426" t="s">
        <v>118</v>
      </c>
      <c r="D26" s="543"/>
      <c r="E26" s="544"/>
      <c r="F26" s="531" t="e">
        <f t="shared" si="0"/>
        <v>#DIV/0!</v>
      </c>
      <c r="G26" s="536" t="e">
        <f t="shared" si="1"/>
        <v>#REF!</v>
      </c>
      <c r="H26" s="550" t="e">
        <f>H27+H30</f>
        <v>#REF!</v>
      </c>
      <c r="I26" s="541">
        <v>110</v>
      </c>
      <c r="J26" s="542">
        <f t="shared" si="2"/>
        <v>0</v>
      </c>
    </row>
    <row r="27" spans="1:10" ht="60" hidden="1">
      <c r="A27" s="503" t="s">
        <v>591</v>
      </c>
      <c r="B27" s="486" t="s">
        <v>119</v>
      </c>
      <c r="C27" s="475" t="s">
        <v>303</v>
      </c>
      <c r="D27" s="548"/>
      <c r="E27" s="549"/>
      <c r="F27" s="531" t="e">
        <f t="shared" si="0"/>
        <v>#DIV/0!</v>
      </c>
      <c r="G27" s="536" t="e">
        <f t="shared" si="1"/>
        <v>#REF!</v>
      </c>
      <c r="H27" s="519" t="e">
        <f>SUM(H28:H29)</f>
        <v>#REF!</v>
      </c>
      <c r="I27" s="541">
        <v>110</v>
      </c>
      <c r="J27" s="542">
        <f t="shared" si="2"/>
        <v>0</v>
      </c>
    </row>
    <row r="28" spans="1:10" ht="89.25" hidden="1">
      <c r="A28" s="504" t="s">
        <v>591</v>
      </c>
      <c r="B28" s="487" t="s">
        <v>120</v>
      </c>
      <c r="C28" s="476" t="s">
        <v>623</v>
      </c>
      <c r="D28" s="488"/>
      <c r="E28" s="392"/>
      <c r="F28" s="531" t="e">
        <f t="shared" si="0"/>
        <v>#DIV/0!</v>
      </c>
      <c r="G28" s="536" t="e">
        <f t="shared" si="1"/>
        <v>#REF!</v>
      </c>
      <c r="H28" s="519" t="e">
        <f>SUM(#REF!)</f>
        <v>#REF!</v>
      </c>
      <c r="I28" s="541">
        <v>110</v>
      </c>
      <c r="J28" s="542">
        <f t="shared" si="2"/>
        <v>0</v>
      </c>
    </row>
    <row r="29" spans="1:10" ht="89.25" hidden="1">
      <c r="A29" s="504" t="s">
        <v>591</v>
      </c>
      <c r="B29" s="487" t="s">
        <v>121</v>
      </c>
      <c r="C29" s="476" t="s">
        <v>346</v>
      </c>
      <c r="D29" s="488"/>
      <c r="E29" s="392"/>
      <c r="F29" s="531" t="e">
        <f t="shared" si="0"/>
        <v>#DIV/0!</v>
      </c>
      <c r="G29" s="536" t="e">
        <f t="shared" si="1"/>
        <v>#REF!</v>
      </c>
      <c r="H29" s="519" t="e">
        <f>SUM(#REF!)</f>
        <v>#REF!</v>
      </c>
      <c r="I29" s="541">
        <v>110</v>
      </c>
      <c r="J29" s="542">
        <f t="shared" si="2"/>
        <v>0</v>
      </c>
    </row>
    <row r="30" spans="1:10" ht="12.75" hidden="1">
      <c r="A30" s="503" t="s">
        <v>591</v>
      </c>
      <c r="B30" s="486" t="s">
        <v>215</v>
      </c>
      <c r="C30" s="475" t="s">
        <v>216</v>
      </c>
      <c r="D30" s="548"/>
      <c r="E30" s="549"/>
      <c r="F30" s="531" t="e">
        <f t="shared" si="0"/>
        <v>#DIV/0!</v>
      </c>
      <c r="G30" s="536" t="e">
        <f t="shared" si="1"/>
        <v>#REF!</v>
      </c>
      <c r="H30" s="519" t="e">
        <f>H31</f>
        <v>#REF!</v>
      </c>
      <c r="I30" s="541">
        <v>110</v>
      </c>
      <c r="J30" s="542">
        <f t="shared" si="2"/>
        <v>0</v>
      </c>
    </row>
    <row r="31" spans="1:10" ht="51" hidden="1">
      <c r="A31" s="504" t="s">
        <v>591</v>
      </c>
      <c r="B31" s="487" t="s">
        <v>217</v>
      </c>
      <c r="C31" s="476" t="s">
        <v>304</v>
      </c>
      <c r="D31" s="488"/>
      <c r="E31" s="392"/>
      <c r="F31" s="531" t="e">
        <f t="shared" si="0"/>
        <v>#DIV/0!</v>
      </c>
      <c r="G31" s="536" t="e">
        <f t="shared" si="1"/>
        <v>#REF!</v>
      </c>
      <c r="H31" s="519" t="e">
        <f>SUM(#REF!)</f>
        <v>#REF!</v>
      </c>
      <c r="I31" s="541">
        <v>110</v>
      </c>
      <c r="J31" s="542">
        <f t="shared" si="2"/>
        <v>0</v>
      </c>
    </row>
    <row r="32" spans="1:10" ht="28.5" hidden="1">
      <c r="A32" s="499" t="s">
        <v>154</v>
      </c>
      <c r="B32" s="510" t="s">
        <v>597</v>
      </c>
      <c r="C32" s="479" t="s">
        <v>275</v>
      </c>
      <c r="D32" s="543"/>
      <c r="E32" s="544"/>
      <c r="F32" s="531" t="e">
        <f t="shared" si="0"/>
        <v>#DIV/0!</v>
      </c>
      <c r="G32" s="536" t="e">
        <f t="shared" si="1"/>
        <v>#REF!</v>
      </c>
      <c r="H32" s="550" t="e">
        <f>SUM(#REF!)</f>
        <v>#REF!</v>
      </c>
      <c r="I32" s="541">
        <v>110</v>
      </c>
      <c r="J32" s="542">
        <f t="shared" si="2"/>
        <v>0</v>
      </c>
    </row>
    <row r="33" spans="1:10" ht="48">
      <c r="A33" s="498" t="s">
        <v>155</v>
      </c>
      <c r="B33" s="484" t="s">
        <v>598</v>
      </c>
      <c r="C33" s="472" t="s">
        <v>276</v>
      </c>
      <c r="D33" s="491">
        <v>1048.8</v>
      </c>
      <c r="E33" s="393">
        <v>1213.462</v>
      </c>
      <c r="F33" s="531">
        <f t="shared" si="0"/>
        <v>115.70003813882533</v>
      </c>
      <c r="G33" s="536">
        <f t="shared" si="1"/>
        <v>22.827249637813132</v>
      </c>
      <c r="H33" s="523">
        <f>кв!D71</f>
        <v>277</v>
      </c>
      <c r="I33" s="541">
        <v>110</v>
      </c>
      <c r="J33" s="542">
        <f t="shared" si="2"/>
        <v>1334.8082000000002</v>
      </c>
    </row>
    <row r="34" spans="1:10" ht="24" hidden="1">
      <c r="A34" s="500" t="s">
        <v>154</v>
      </c>
      <c r="B34" s="485" t="s">
        <v>202</v>
      </c>
      <c r="C34" s="473" t="s">
        <v>203</v>
      </c>
      <c r="D34" s="546"/>
      <c r="E34" s="547"/>
      <c r="F34" s="531" t="e">
        <f t="shared" si="0"/>
        <v>#DIV/0!</v>
      </c>
      <c r="G34" s="532" t="e">
        <f t="shared" si="1"/>
        <v>#REF!</v>
      </c>
      <c r="H34" s="523" t="e">
        <f>SUM(#REF!)</f>
        <v>#REF!</v>
      </c>
      <c r="I34" s="541">
        <v>110</v>
      </c>
      <c r="J34" s="542">
        <f t="shared" si="2"/>
        <v>0</v>
      </c>
    </row>
    <row r="35" spans="1:10" ht="51" hidden="1">
      <c r="A35" s="501" t="s">
        <v>154</v>
      </c>
      <c r="B35" s="483" t="s">
        <v>204</v>
      </c>
      <c r="C35" s="427" t="s">
        <v>305</v>
      </c>
      <c r="D35" s="491"/>
      <c r="E35" s="393"/>
      <c r="F35" s="531" t="e">
        <f t="shared" si="0"/>
        <v>#DIV/0!</v>
      </c>
      <c r="G35" s="532" t="e">
        <f t="shared" si="1"/>
        <v>#REF!</v>
      </c>
      <c r="H35" s="523" t="e">
        <f>SUM(#REF!)</f>
        <v>#REF!</v>
      </c>
      <c r="I35" s="541">
        <v>110</v>
      </c>
      <c r="J35" s="542">
        <f t="shared" si="2"/>
        <v>0</v>
      </c>
    </row>
    <row r="36" spans="1:10" ht="36" hidden="1">
      <c r="A36" s="500" t="s">
        <v>154</v>
      </c>
      <c r="B36" s="485" t="s">
        <v>205</v>
      </c>
      <c r="C36" s="473" t="s">
        <v>206</v>
      </c>
      <c r="D36" s="546"/>
      <c r="E36" s="547"/>
      <c r="F36" s="531" t="e">
        <f t="shared" si="0"/>
        <v>#DIV/0!</v>
      </c>
      <c r="G36" s="532" t="e">
        <f t="shared" si="1"/>
        <v>#REF!</v>
      </c>
      <c r="H36" s="523" t="e">
        <f>SUM(#REF!)</f>
        <v>#REF!</v>
      </c>
      <c r="I36" s="541">
        <v>110</v>
      </c>
      <c r="J36" s="542">
        <f t="shared" si="2"/>
        <v>0</v>
      </c>
    </row>
    <row r="37" spans="1:10" ht="63.75" hidden="1">
      <c r="A37" s="497" t="s">
        <v>154</v>
      </c>
      <c r="B37" s="483" t="s">
        <v>306</v>
      </c>
      <c r="C37" s="427" t="s">
        <v>347</v>
      </c>
      <c r="D37" s="491"/>
      <c r="E37" s="393"/>
      <c r="F37" s="531" t="e">
        <f t="shared" si="0"/>
        <v>#DIV/0!</v>
      </c>
      <c r="G37" s="532" t="e">
        <f t="shared" si="1"/>
        <v>#REF!</v>
      </c>
      <c r="H37" s="523" t="e">
        <f>SUM(#REF!)</f>
        <v>#REF!</v>
      </c>
      <c r="I37" s="541">
        <v>110</v>
      </c>
      <c r="J37" s="542">
        <f t="shared" si="2"/>
        <v>0</v>
      </c>
    </row>
    <row r="38" spans="1:10" ht="24" hidden="1">
      <c r="A38" s="500" t="s">
        <v>154</v>
      </c>
      <c r="B38" s="485" t="s">
        <v>308</v>
      </c>
      <c r="C38" s="473" t="s">
        <v>309</v>
      </c>
      <c r="D38" s="546"/>
      <c r="E38" s="547"/>
      <c r="F38" s="531" t="e">
        <f t="shared" si="0"/>
        <v>#DIV/0!</v>
      </c>
      <c r="G38" s="532" t="e">
        <f t="shared" si="1"/>
        <v>#REF!</v>
      </c>
      <c r="H38" s="523" t="e">
        <f>SUM(#REF!)</f>
        <v>#REF!</v>
      </c>
      <c r="I38" s="541">
        <v>110</v>
      </c>
      <c r="J38" s="542">
        <f t="shared" si="2"/>
        <v>0</v>
      </c>
    </row>
    <row r="39" spans="1:10" ht="63.75" hidden="1">
      <c r="A39" s="497" t="s">
        <v>154</v>
      </c>
      <c r="B39" s="483" t="s">
        <v>310</v>
      </c>
      <c r="C39" s="427" t="s">
        <v>311</v>
      </c>
      <c r="D39" s="491"/>
      <c r="E39" s="393"/>
      <c r="F39" s="531" t="e">
        <f t="shared" si="0"/>
        <v>#DIV/0!</v>
      </c>
      <c r="G39" s="532" t="e">
        <f t="shared" si="1"/>
        <v>#REF!</v>
      </c>
      <c r="H39" s="523" t="e">
        <f>SUM(#REF!)</f>
        <v>#REF!</v>
      </c>
      <c r="I39" s="541">
        <v>110</v>
      </c>
      <c r="J39" s="542">
        <f t="shared" si="2"/>
        <v>0</v>
      </c>
    </row>
    <row r="40" spans="1:10" ht="24" hidden="1">
      <c r="A40" s="500" t="s">
        <v>154</v>
      </c>
      <c r="B40" s="485" t="s">
        <v>207</v>
      </c>
      <c r="C40" s="473" t="s">
        <v>278</v>
      </c>
      <c r="D40" s="546"/>
      <c r="E40" s="547"/>
      <c r="F40" s="531" t="e">
        <f t="shared" si="0"/>
        <v>#DIV/0!</v>
      </c>
      <c r="G40" s="532" t="e">
        <f t="shared" si="1"/>
        <v>#REF!</v>
      </c>
      <c r="H40" s="523" t="e">
        <f>SUM(#REF!)</f>
        <v>#REF!</v>
      </c>
      <c r="I40" s="541">
        <v>110</v>
      </c>
      <c r="J40" s="542">
        <f t="shared" si="2"/>
        <v>0</v>
      </c>
    </row>
    <row r="41" spans="1:10" ht="51" hidden="1">
      <c r="A41" s="501" t="s">
        <v>154</v>
      </c>
      <c r="B41" s="483" t="s">
        <v>343</v>
      </c>
      <c r="C41" s="427" t="s">
        <v>344</v>
      </c>
      <c r="D41" s="491"/>
      <c r="E41" s="393"/>
      <c r="F41" s="531" t="e">
        <f t="shared" si="0"/>
        <v>#DIV/0!</v>
      </c>
      <c r="G41" s="532" t="e">
        <f t="shared" si="1"/>
        <v>#REF!</v>
      </c>
      <c r="H41" s="523" t="e">
        <f>SUM(H42:H44)</f>
        <v>#REF!</v>
      </c>
      <c r="I41" s="541">
        <v>110</v>
      </c>
      <c r="J41" s="542">
        <f t="shared" si="2"/>
        <v>0</v>
      </c>
    </row>
    <row r="42" spans="1:10" ht="48">
      <c r="A42" s="507" t="s">
        <v>813</v>
      </c>
      <c r="B42" s="491" t="s">
        <v>312</v>
      </c>
      <c r="C42" s="480" t="s">
        <v>313</v>
      </c>
      <c r="D42" s="491">
        <v>32.4</v>
      </c>
      <c r="E42" s="393">
        <v>40</v>
      </c>
      <c r="F42" s="535">
        <f t="shared" si="0"/>
        <v>123.45679012345678</v>
      </c>
      <c r="G42" s="532" t="e">
        <f t="shared" si="1"/>
        <v>#REF!</v>
      </c>
      <c r="H42" s="523" t="e">
        <f>кв!#REF!</f>
        <v>#REF!</v>
      </c>
      <c r="I42" s="541">
        <v>110</v>
      </c>
      <c r="J42" s="542">
        <f t="shared" si="2"/>
        <v>44</v>
      </c>
    </row>
    <row r="43" spans="1:10" ht="48">
      <c r="A43" s="507" t="s">
        <v>20</v>
      </c>
      <c r="B43" s="491" t="s">
        <v>312</v>
      </c>
      <c r="C43" s="480" t="s">
        <v>313</v>
      </c>
      <c r="D43" s="491">
        <v>2057.1</v>
      </c>
      <c r="E43" s="393">
        <v>2674.23</v>
      </c>
      <c r="F43" s="531">
        <f t="shared" si="0"/>
        <v>130</v>
      </c>
      <c r="G43" s="536">
        <f t="shared" si="1"/>
        <v>41.13333557696982</v>
      </c>
      <c r="H43" s="523">
        <f>кв!D80</f>
        <v>1100</v>
      </c>
      <c r="I43" s="541">
        <v>110</v>
      </c>
      <c r="J43" s="542">
        <f>E43*I43%</f>
        <v>2941.6530000000002</v>
      </c>
    </row>
    <row r="44" spans="1:10" ht="36.75" thickBot="1">
      <c r="A44" s="508" t="s">
        <v>813</v>
      </c>
      <c r="B44" s="512" t="s">
        <v>314</v>
      </c>
      <c r="C44" s="481" t="s">
        <v>667</v>
      </c>
      <c r="D44" s="492">
        <v>13.2</v>
      </c>
      <c r="E44" s="493">
        <v>3</v>
      </c>
      <c r="F44" s="537">
        <f t="shared" si="0"/>
        <v>22.727272727272727</v>
      </c>
      <c r="G44" s="538">
        <f t="shared" si="1"/>
        <v>1226.6666666666665</v>
      </c>
      <c r="H44" s="524">
        <f>кв!D85</f>
        <v>36.8</v>
      </c>
      <c r="I44" s="541">
        <v>110</v>
      </c>
      <c r="J44" s="542">
        <f t="shared" si="2"/>
        <v>3.3000000000000003</v>
      </c>
    </row>
    <row r="45" spans="1:10" ht="16.5" thickBot="1">
      <c r="A45" s="509"/>
      <c r="B45" s="467"/>
      <c r="C45" s="513" t="s">
        <v>413</v>
      </c>
      <c r="D45" s="514">
        <f>D44+D43+D42+D33+D24+D12+D9+D6+D5+D4</f>
        <v>52589.012</v>
      </c>
      <c r="E45" s="521">
        <f>E44+E43+E42+E33+E24+E12+E9+E6+E5+E4</f>
        <v>57219.8</v>
      </c>
      <c r="F45" s="515"/>
      <c r="G45" s="517"/>
      <c r="H45" s="520" t="e">
        <f>H4+H5+H6+H9+H12+H24+H33+H42+H43+H44</f>
        <v>#REF!</v>
      </c>
      <c r="I45" s="516"/>
      <c r="J45" s="518">
        <f>J4+J5+J6+J9+J12+J24+J33+J42+J43+J44</f>
        <v>62941.78</v>
      </c>
    </row>
  </sheetData>
  <sheetProtection/>
  <mergeCells count="8">
    <mergeCell ref="A1:H1"/>
    <mergeCell ref="G2:H2"/>
    <mergeCell ref="I2:J2"/>
    <mergeCell ref="D2:D3"/>
    <mergeCell ref="E2:E3"/>
    <mergeCell ref="F2:F3"/>
    <mergeCell ref="B2:B3"/>
    <mergeCell ref="C2:C3"/>
  </mergeCells>
  <printOptions/>
  <pageMargins left="0.75" right="0.32" top="0.43" bottom="0.5" header="0.4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9"/>
  <sheetViews>
    <sheetView tabSelected="1" zoomScalePageLayoutView="0" workbookViewId="0" topLeftCell="A1">
      <selection activeCell="K10" sqref="K10"/>
    </sheetView>
  </sheetViews>
  <sheetFormatPr defaultColWidth="9.00390625" defaultRowHeight="12.75"/>
  <cols>
    <col min="1" max="1" width="7.75390625" style="0" customWidth="1"/>
    <col min="2" max="2" width="56.375" style="0" customWidth="1"/>
    <col min="3" max="3" width="4.875" style="0" customWidth="1"/>
    <col min="4" max="4" width="4.375" style="0" customWidth="1"/>
    <col min="5" max="5" width="9.25390625" style="0" hidden="1" customWidth="1"/>
    <col min="6" max="6" width="5.00390625" style="0" hidden="1" customWidth="1"/>
    <col min="7" max="7" width="8.625" style="0" customWidth="1"/>
    <col min="9" max="9" width="7.25390625" style="0" customWidth="1"/>
  </cols>
  <sheetData>
    <row r="1" spans="1:9" ht="14.25" customHeight="1">
      <c r="A1" s="3325"/>
      <c r="B1" s="3325"/>
      <c r="C1" s="3323" t="s">
        <v>1165</v>
      </c>
      <c r="D1" s="3323"/>
      <c r="E1" s="3323"/>
      <c r="F1" s="3323"/>
      <c r="G1" s="3323"/>
      <c r="H1" s="3323"/>
      <c r="I1" s="3323"/>
    </row>
    <row r="2" spans="1:9" ht="14.25" customHeight="1">
      <c r="A2" s="3323" t="s">
        <v>416</v>
      </c>
      <c r="B2" s="3323"/>
      <c r="C2" s="3323"/>
      <c r="D2" s="3323"/>
      <c r="E2" s="3323"/>
      <c r="F2" s="3323"/>
      <c r="G2" s="3323"/>
      <c r="H2" s="3323"/>
      <c r="I2" s="3323"/>
    </row>
    <row r="3" spans="1:9" ht="14.25" customHeight="1">
      <c r="A3" s="2461"/>
      <c r="B3" s="3324" t="s">
        <v>1433</v>
      </c>
      <c r="C3" s="3324"/>
      <c r="D3" s="3324"/>
      <c r="E3" s="3324"/>
      <c r="F3" s="3324"/>
      <c r="G3" s="3324"/>
      <c r="H3" s="3324"/>
      <c r="I3" s="3324"/>
    </row>
    <row r="4" spans="1:7" ht="36" customHeight="1">
      <c r="A4" s="3326" t="s">
        <v>1431</v>
      </c>
      <c r="B4" s="3326"/>
      <c r="C4" s="3326"/>
      <c r="D4" s="3326"/>
      <c r="E4" s="3326"/>
      <c r="F4" s="3326"/>
      <c r="G4" s="3326"/>
    </row>
    <row r="5" spans="1:7" ht="15.75">
      <c r="A5" s="3327" t="s">
        <v>1413</v>
      </c>
      <c r="B5" s="3327"/>
      <c r="C5" s="3327"/>
      <c r="D5" s="3327"/>
      <c r="E5" s="3327"/>
      <c r="F5" s="3327"/>
      <c r="G5" s="3327"/>
    </row>
    <row r="6" spans="1:9" ht="14.25" customHeight="1" thickBot="1">
      <c r="A6" s="122"/>
      <c r="B6" s="3120" t="s">
        <v>218</v>
      </c>
      <c r="C6" s="3120"/>
      <c r="D6" s="3120"/>
      <c r="E6" s="3120"/>
      <c r="F6" s="3120"/>
      <c r="G6" s="3120"/>
      <c r="H6" s="3120"/>
      <c r="I6" s="3120"/>
    </row>
    <row r="7" spans="1:9" ht="36" customHeight="1" thickBot="1">
      <c r="A7" s="1786" t="s">
        <v>794</v>
      </c>
      <c r="B7" s="1787" t="s">
        <v>1432</v>
      </c>
      <c r="C7" s="1787" t="s">
        <v>1196</v>
      </c>
      <c r="D7" s="1787" t="s">
        <v>1197</v>
      </c>
      <c r="E7" s="1787" t="s">
        <v>1198</v>
      </c>
      <c r="F7" s="3074" t="s">
        <v>1199</v>
      </c>
      <c r="G7" s="3083" t="s">
        <v>1422</v>
      </c>
      <c r="H7" s="3090" t="s">
        <v>1414</v>
      </c>
      <c r="I7" s="3091" t="s">
        <v>1415</v>
      </c>
    </row>
    <row r="8" spans="1:9" ht="13.5" thickBot="1">
      <c r="A8" s="1852" t="s">
        <v>678</v>
      </c>
      <c r="B8" s="1853">
        <v>2</v>
      </c>
      <c r="C8" s="1853" t="s">
        <v>472</v>
      </c>
      <c r="D8" s="1853" t="s">
        <v>614</v>
      </c>
      <c r="E8" s="1853" t="s">
        <v>295</v>
      </c>
      <c r="F8" s="3075" t="s">
        <v>296</v>
      </c>
      <c r="G8" s="3084">
        <v>7</v>
      </c>
      <c r="H8" s="3092"/>
      <c r="I8" s="3093"/>
    </row>
    <row r="9" spans="1:9" ht="16.5" customHeight="1">
      <c r="A9" s="1848" t="s">
        <v>678</v>
      </c>
      <c r="B9" s="1849" t="s">
        <v>102</v>
      </c>
      <c r="C9" s="1850" t="s">
        <v>1166</v>
      </c>
      <c r="D9" s="1785"/>
      <c r="E9" s="1785"/>
      <c r="F9" s="1851"/>
      <c r="G9" s="2294">
        <f>G10+G13+G22+G32+G38+G41</f>
        <v>33364.9</v>
      </c>
      <c r="H9" s="3017">
        <f>SUM(H10:H41)</f>
        <v>30429.399999999998</v>
      </c>
      <c r="I9" s="3094">
        <f>H9/G9%</f>
        <v>91.20183186522362</v>
      </c>
    </row>
    <row r="10" spans="1:9" ht="27.75" customHeight="1">
      <c r="A10" s="3045" t="s">
        <v>245</v>
      </c>
      <c r="B10" s="3046" t="str">
        <f>'Бюд.р.'!A59</f>
        <v>Функционирование высшего должностного лица субъекта Российской Федерации и муниципального образования</v>
      </c>
      <c r="C10" s="3047" t="s">
        <v>1166</v>
      </c>
      <c r="D10" s="2297" t="s">
        <v>1167</v>
      </c>
      <c r="E10" s="2297"/>
      <c r="F10" s="3048"/>
      <c r="G10" s="2395">
        <f>G11</f>
        <v>1148.5</v>
      </c>
      <c r="H10" s="3088">
        <v>1148.5</v>
      </c>
      <c r="I10" s="3086">
        <f aca="true" t="shared" si="0" ref="I10:I73">H10/G10%</f>
        <v>100</v>
      </c>
    </row>
    <row r="11" spans="1:9" ht="15.75" customHeight="1" hidden="1">
      <c r="A11" s="1799" t="s">
        <v>182</v>
      </c>
      <c r="B11" s="3049" t="str">
        <f>'Бюд.р.'!A60</f>
        <v>ГЛАВА МУНИЦИПАЛЬНОГО ОБРАЗОВАНИЯ</v>
      </c>
      <c r="C11" s="1813" t="s">
        <v>1166</v>
      </c>
      <c r="D11" s="1783" t="s">
        <v>1167</v>
      </c>
      <c r="E11" s="1783" t="str">
        <f>'Бюд.р.'!D60</f>
        <v>002  01 00</v>
      </c>
      <c r="F11" s="3050"/>
      <c r="G11" s="1792">
        <f>G12</f>
        <v>1148.5</v>
      </c>
      <c r="H11" s="3088"/>
      <c r="I11" s="3086">
        <f t="shared" si="0"/>
        <v>0</v>
      </c>
    </row>
    <row r="12" spans="1:9" ht="39" customHeight="1" hidden="1">
      <c r="A12" s="1801" t="s">
        <v>183</v>
      </c>
      <c r="B12" s="3051" t="str">
        <f>'Бюд.р.'!A61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2" s="1812" t="str">
        <f>C11</f>
        <v>01</v>
      </c>
      <c r="D12" s="1774" t="str">
        <f>D11</f>
        <v>02</v>
      </c>
      <c r="E12" s="1774" t="str">
        <f>E11</f>
        <v>002  01 00</v>
      </c>
      <c r="F12" s="3052">
        <f>'Бюд.р.'!F61</f>
        <v>100</v>
      </c>
      <c r="G12" s="1771">
        <v>1148.5</v>
      </c>
      <c r="H12" s="3088"/>
      <c r="I12" s="3086">
        <f t="shared" si="0"/>
        <v>0</v>
      </c>
    </row>
    <row r="13" spans="1:9" ht="36.75" customHeight="1">
      <c r="A13" s="3045" t="s">
        <v>233</v>
      </c>
      <c r="B13" s="3053" t="str">
        <f>'Бюд.р.'!A66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C13" s="3047" t="s">
        <v>1166</v>
      </c>
      <c r="D13" s="2297" t="s">
        <v>1168</v>
      </c>
      <c r="E13" s="2297"/>
      <c r="F13" s="3048"/>
      <c r="G13" s="2395">
        <f>G14+G16+G18</f>
        <v>2959.7</v>
      </c>
      <c r="H13" s="3088">
        <v>2959.3</v>
      </c>
      <c r="I13" s="3086">
        <f t="shared" si="0"/>
        <v>99.98648511673481</v>
      </c>
    </row>
    <row r="14" spans="1:9" ht="24" customHeight="1" hidden="1">
      <c r="A14" s="1799" t="s">
        <v>679</v>
      </c>
      <c r="B14" s="3054" t="str">
        <f>'Бюд.р.'!A68</f>
        <v>ДЕПУТАТЫ, ОСУЩЕСТВЛЯЮЩИЕ СВОЮ ДЕЯТЕЛЬНОСТЬ НА ПОСТОЯННОЙ ОСНОВЕ</v>
      </c>
      <c r="C14" s="1813" t="str">
        <f>C12</f>
        <v>01</v>
      </c>
      <c r="D14" s="1783" t="str">
        <f aca="true" t="shared" si="1" ref="D14:D20">D13</f>
        <v>03</v>
      </c>
      <c r="E14" s="1784" t="str">
        <f>'Бюд.р.'!D68</f>
        <v>002  03 01</v>
      </c>
      <c r="F14" s="3050"/>
      <c r="G14" s="1792">
        <f>G15</f>
        <v>1088.6</v>
      </c>
      <c r="H14" s="3088"/>
      <c r="I14" s="3086">
        <f t="shared" si="0"/>
        <v>0</v>
      </c>
    </row>
    <row r="15" spans="1:9" ht="39.75" customHeight="1" hidden="1">
      <c r="A15" s="3055" t="s">
        <v>680</v>
      </c>
      <c r="B15" s="3056" t="str">
        <f>'Бюд.р.'!A69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5" s="1812" t="str">
        <f aca="true" t="shared" si="2" ref="C15:C20">C14</f>
        <v>01</v>
      </c>
      <c r="D15" s="1585" t="str">
        <f t="shared" si="1"/>
        <v>03</v>
      </c>
      <c r="E15" s="1585" t="str">
        <f>E14</f>
        <v>002  03 01</v>
      </c>
      <c r="F15" s="1586">
        <f>'Бюд.р.'!F69</f>
        <v>100</v>
      </c>
      <c r="G15" s="1771">
        <v>1088.6</v>
      </c>
      <c r="H15" s="3088"/>
      <c r="I15" s="3086">
        <f t="shared" si="0"/>
        <v>0</v>
      </c>
    </row>
    <row r="16" spans="1:9" ht="22.5" hidden="1">
      <c r="A16" s="1799" t="s">
        <v>1184</v>
      </c>
      <c r="B16" s="3054" t="str">
        <f>'Бюд.р.'!A77</f>
        <v>КОМПЕСАЦИЯ  ДЕПУТАТАМ, ОСУЩЕСТВЛЯЮЩИМ СВОИ ПОЛНОМОЧИЯ НА НЕПОСТОЯННОЙ ОСНОВЕ</v>
      </c>
      <c r="C16" s="1813" t="str">
        <f t="shared" si="2"/>
        <v>01</v>
      </c>
      <c r="D16" s="1784" t="str">
        <f t="shared" si="1"/>
        <v>03</v>
      </c>
      <c r="E16" s="1784" t="str">
        <f>'Бюд.р.'!D77</f>
        <v>002  03 02</v>
      </c>
      <c r="F16" s="1839"/>
      <c r="G16" s="1792">
        <f>G17</f>
        <v>264.6</v>
      </c>
      <c r="H16" s="3088"/>
      <c r="I16" s="3086">
        <f t="shared" si="0"/>
        <v>0</v>
      </c>
    </row>
    <row r="17" spans="1:9" ht="38.25" customHeight="1" hidden="1">
      <c r="A17" s="1801" t="s">
        <v>1200</v>
      </c>
      <c r="B17" s="3056" t="str">
        <f>'Бюд.р.'!A78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7" s="1812" t="str">
        <f t="shared" si="2"/>
        <v>01</v>
      </c>
      <c r="D17" s="1585" t="str">
        <f t="shared" si="1"/>
        <v>03</v>
      </c>
      <c r="E17" s="1585" t="str">
        <f>E16</f>
        <v>002  03 02</v>
      </c>
      <c r="F17" s="1586">
        <f>'Бюд.р.'!F78</f>
        <v>100</v>
      </c>
      <c r="G17" s="1771">
        <v>264.6</v>
      </c>
      <c r="H17" s="3088"/>
      <c r="I17" s="3086">
        <f t="shared" si="0"/>
        <v>0</v>
      </c>
    </row>
    <row r="18" spans="1:9" ht="16.5" customHeight="1" hidden="1">
      <c r="A18" s="1799" t="s">
        <v>1185</v>
      </c>
      <c r="B18" s="3054" t="str">
        <f>'Бюд.р.'!A82</f>
        <v>АППАРАТ ПРЕДСТАВИТЕЛЬНОГО ОРГАНА МУНИЦИПАЛЬНОГО ОБРАЗОВАНИЯ</v>
      </c>
      <c r="C18" s="1811" t="str">
        <f t="shared" si="2"/>
        <v>01</v>
      </c>
      <c r="D18" s="1779" t="str">
        <f t="shared" si="1"/>
        <v>03</v>
      </c>
      <c r="E18" s="1779" t="str">
        <f>'Бюд.р.'!D82</f>
        <v>002  04 00</v>
      </c>
      <c r="F18" s="1836"/>
      <c r="G18" s="1780">
        <f>SUM(G19:G21)</f>
        <v>1606.5</v>
      </c>
      <c r="H18" s="3088"/>
      <c r="I18" s="3086">
        <f t="shared" si="0"/>
        <v>0</v>
      </c>
    </row>
    <row r="19" spans="1:9" ht="36.75" customHeight="1" hidden="1">
      <c r="A19" s="1801" t="s">
        <v>1201</v>
      </c>
      <c r="B19" s="2109" t="str">
        <f>'Бюд.р.'!A83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9" s="1812" t="str">
        <f t="shared" si="2"/>
        <v>01</v>
      </c>
      <c r="D19" s="1585" t="str">
        <f t="shared" si="1"/>
        <v>03</v>
      </c>
      <c r="E19" s="1585" t="str">
        <f>E18</f>
        <v>002  04 00</v>
      </c>
      <c r="F19" s="1586">
        <f>'Бюд.р.'!F83</f>
        <v>100</v>
      </c>
      <c r="G19" s="1771">
        <v>674.2</v>
      </c>
      <c r="H19" s="3088"/>
      <c r="I19" s="3086">
        <f t="shared" si="0"/>
        <v>0</v>
      </c>
    </row>
    <row r="20" spans="1:9" ht="13.5" customHeight="1" hidden="1">
      <c r="A20" s="1801" t="s">
        <v>1202</v>
      </c>
      <c r="B20" s="2109" t="str">
        <f>'Бюд.р.'!A89</f>
        <v>Закупка товаров, работ и услуг  для государственных (муниципальных) нужд</v>
      </c>
      <c r="C20" s="1812" t="str">
        <f t="shared" si="2"/>
        <v>01</v>
      </c>
      <c r="D20" s="1585" t="str">
        <f t="shared" si="1"/>
        <v>03</v>
      </c>
      <c r="E20" s="1585" t="str">
        <f>E19</f>
        <v>002  04 00</v>
      </c>
      <c r="F20" s="1586">
        <f>'Бюд.р.'!F89</f>
        <v>200</v>
      </c>
      <c r="G20" s="1771">
        <v>932.3</v>
      </c>
      <c r="H20" s="3088"/>
      <c r="I20" s="3086">
        <f t="shared" si="0"/>
        <v>0</v>
      </c>
    </row>
    <row r="21" spans="1:9" ht="13.5" customHeight="1" hidden="1">
      <c r="A21" s="1801" t="s">
        <v>1252</v>
      </c>
      <c r="B21" s="2109" t="str">
        <f>'Бюд.р.'!A103</f>
        <v>Иные бюджетные ассигнования</v>
      </c>
      <c r="C21" s="1812" t="str">
        <f>C20</f>
        <v>01</v>
      </c>
      <c r="D21" s="1585" t="str">
        <f>D20</f>
        <v>03</v>
      </c>
      <c r="E21" s="1585" t="str">
        <f>'Бюд.р.'!D103</f>
        <v>002  04 00</v>
      </c>
      <c r="F21" s="1586">
        <f>'Бюд.р.'!F103</f>
        <v>800</v>
      </c>
      <c r="G21" s="1771">
        <f>'Бюд.р.'!H103</f>
        <v>0</v>
      </c>
      <c r="H21" s="3088"/>
      <c r="I21" s="3086" t="e">
        <f t="shared" si="0"/>
        <v>#DIV/0!</v>
      </c>
    </row>
    <row r="22" spans="1:9" ht="37.5" customHeight="1">
      <c r="A22" s="3045" t="s">
        <v>613</v>
      </c>
      <c r="B22" s="3057" t="str">
        <f>'Бюд.р.'!A157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C22" s="3047" t="s">
        <v>1166</v>
      </c>
      <c r="D22" s="2297" t="s">
        <v>1169</v>
      </c>
      <c r="E22" s="1515"/>
      <c r="F22" s="1596"/>
      <c r="G22" s="2395">
        <f>G23+G25+G30</f>
        <v>25821.6</v>
      </c>
      <c r="H22" s="3088">
        <v>25756.3</v>
      </c>
      <c r="I22" s="3086">
        <f t="shared" si="0"/>
        <v>99.74711094587477</v>
      </c>
    </row>
    <row r="23" spans="1:9" ht="12.75" customHeight="1" hidden="1">
      <c r="A23" s="1799" t="s">
        <v>443</v>
      </c>
      <c r="B23" s="1824" t="str">
        <f>'Бюд.р.'!A158</f>
        <v>ГЛАВА МЕСТНОЙ АДМИНИСТРАЦИИ</v>
      </c>
      <c r="C23" s="1811" t="str">
        <f aca="true" t="shared" si="3" ref="C23:D25">C22</f>
        <v>01</v>
      </c>
      <c r="D23" s="1778" t="str">
        <f t="shared" si="3"/>
        <v>04</v>
      </c>
      <c r="E23" s="1779" t="str">
        <f>'Бюд.р.'!D158</f>
        <v>002  05 00</v>
      </c>
      <c r="F23" s="1836"/>
      <c r="G23" s="1780">
        <f>G24</f>
        <v>1301.7</v>
      </c>
      <c r="H23" s="3088"/>
      <c r="I23" s="3086">
        <f t="shared" si="0"/>
        <v>0</v>
      </c>
    </row>
    <row r="24" spans="1:9" ht="34.5" customHeight="1" hidden="1">
      <c r="A24" s="1801" t="s">
        <v>652</v>
      </c>
      <c r="B24" s="2109" t="str">
        <f>'Бюд.р.'!A159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4" s="1812" t="str">
        <f t="shared" si="3"/>
        <v>01</v>
      </c>
      <c r="D24" s="1774" t="str">
        <f t="shared" si="3"/>
        <v>04</v>
      </c>
      <c r="E24" s="1585" t="str">
        <f>E23</f>
        <v>002  05 00</v>
      </c>
      <c r="F24" s="1586">
        <f>'Бюд.р.'!F159</f>
        <v>100</v>
      </c>
      <c r="G24" s="1771">
        <v>1301.7</v>
      </c>
      <c r="H24" s="3088"/>
      <c r="I24" s="3086">
        <f t="shared" si="0"/>
        <v>0</v>
      </c>
    </row>
    <row r="25" spans="1:9" ht="26.25" customHeight="1" hidden="1">
      <c r="A25" s="1799" t="s">
        <v>1186</v>
      </c>
      <c r="B25" s="2463" t="str">
        <f>'Бюд.р.'!A165</f>
        <v>СОДЕРЖАНИЕ И ОБЕСПЕЧЕНИЕ ДЕЯТЕЛЬНОСТИ МЕСТНОЙ АДМИНИСТРАЦИИ ПО РЕШЕНИЮ ВОПРОСОВ МЕСТНОГО ЗНАЧЕНИЯ</v>
      </c>
      <c r="C25" s="1811" t="str">
        <f t="shared" si="3"/>
        <v>01</v>
      </c>
      <c r="D25" s="1778" t="str">
        <f t="shared" si="3"/>
        <v>04</v>
      </c>
      <c r="E25" s="1779" t="str">
        <f>'Бюд.р.'!D165</f>
        <v>002  06 01</v>
      </c>
      <c r="F25" s="1836"/>
      <c r="G25" s="1780">
        <f>SUM(G26:G29)</f>
        <v>24514.3</v>
      </c>
      <c r="H25" s="3088"/>
      <c r="I25" s="3086">
        <f t="shared" si="0"/>
        <v>0</v>
      </c>
    </row>
    <row r="26" spans="1:9" ht="33.75" customHeight="1" hidden="1">
      <c r="A26" s="3058" t="s">
        <v>1203</v>
      </c>
      <c r="B26" s="2109" t="str">
        <f>'Бюд.р.'!A166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6" s="1812" t="str">
        <f>C24</f>
        <v>01</v>
      </c>
      <c r="D26" s="1774" t="str">
        <f>D24</f>
        <v>04</v>
      </c>
      <c r="E26" s="1585" t="str">
        <f>'Бюд.р.'!D166</f>
        <v>002  06 01</v>
      </c>
      <c r="F26" s="1586">
        <f>'Бюд.р.'!F166</f>
        <v>100</v>
      </c>
      <c r="G26" s="1771">
        <v>19466.6</v>
      </c>
      <c r="H26" s="3088"/>
      <c r="I26" s="3086">
        <f t="shared" si="0"/>
        <v>0</v>
      </c>
    </row>
    <row r="27" spans="1:9" ht="17.25" customHeight="1" hidden="1">
      <c r="A27" s="3058" t="s">
        <v>1204</v>
      </c>
      <c r="B27" s="1826" t="str">
        <f>'Бюд.р.'!A172</f>
        <v>Закупка товаров, работ и услуг  для государственных (муниципальных) нужд</v>
      </c>
      <c r="C27" s="1812" t="str">
        <f>C26</f>
        <v>01</v>
      </c>
      <c r="D27" s="1774" t="str">
        <f>D26</f>
        <v>04</v>
      </c>
      <c r="E27" s="1585" t="str">
        <f>E26</f>
        <v>002  06 01</v>
      </c>
      <c r="F27" s="1586">
        <f>'Бюд.р.'!F172</f>
        <v>200</v>
      </c>
      <c r="G27" s="1771">
        <v>4975.2</v>
      </c>
      <c r="H27" s="3088"/>
      <c r="I27" s="3086">
        <f t="shared" si="0"/>
        <v>0</v>
      </c>
    </row>
    <row r="28" spans="1:9" ht="17.25" customHeight="1" hidden="1">
      <c r="A28" s="3058" t="s">
        <v>1205</v>
      </c>
      <c r="B28" s="1826" t="str">
        <f>'Бюд.р.'!A194</f>
        <v>Социальное обеспечение и иные выплаты населению</v>
      </c>
      <c r="C28" s="1812" t="s">
        <v>1166</v>
      </c>
      <c r="D28" s="1774" t="s">
        <v>1169</v>
      </c>
      <c r="E28" s="1585" t="s">
        <v>59</v>
      </c>
      <c r="F28" s="1586">
        <f>'Бюд.р.'!F194</f>
        <v>300</v>
      </c>
      <c r="G28" s="1771">
        <v>57.1</v>
      </c>
      <c r="H28" s="3088"/>
      <c r="I28" s="3086">
        <f t="shared" si="0"/>
        <v>0</v>
      </c>
    </row>
    <row r="29" spans="1:9" ht="15.75" customHeight="1" hidden="1">
      <c r="A29" s="3058" t="s">
        <v>1286</v>
      </c>
      <c r="B29" s="1826" t="str">
        <f>'Бюд.р.'!A208</f>
        <v>Иные бюджетные ассигнования</v>
      </c>
      <c r="C29" s="1812" t="str">
        <f>C27</f>
        <v>01</v>
      </c>
      <c r="D29" s="1774" t="str">
        <f>D27</f>
        <v>04</v>
      </c>
      <c r="E29" s="1585" t="str">
        <f>E27</f>
        <v>002  06 01</v>
      </c>
      <c r="F29" s="1586">
        <f>'Бюд.р.'!F208</f>
        <v>800</v>
      </c>
      <c r="G29" s="1771">
        <v>15.4</v>
      </c>
      <c r="H29" s="3088"/>
      <c r="I29" s="3086">
        <f t="shared" si="0"/>
        <v>0</v>
      </c>
    </row>
    <row r="30" spans="1:9" ht="35.25" customHeight="1" hidden="1">
      <c r="A30" s="1799" t="s">
        <v>1187</v>
      </c>
      <c r="B30" s="1824" t="str">
        <f>'Бюд.р.'!A215</f>
        <v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v>
      </c>
      <c r="C30" s="1813" t="str">
        <f>C29</f>
        <v>01</v>
      </c>
      <c r="D30" s="1783" t="str">
        <f>D29</f>
        <v>04</v>
      </c>
      <c r="E30" s="1784" t="str">
        <f>'Бюд.р.'!D215</f>
        <v>002  80 10</v>
      </c>
      <c r="F30" s="1839"/>
      <c r="G30" s="1792">
        <f>G31</f>
        <v>5.6</v>
      </c>
      <c r="H30" s="3088"/>
      <c r="I30" s="3086">
        <f t="shared" si="0"/>
        <v>0</v>
      </c>
    </row>
    <row r="31" spans="1:9" ht="16.5" customHeight="1" hidden="1">
      <c r="A31" s="3058" t="s">
        <v>1206</v>
      </c>
      <c r="B31" s="1826" t="str">
        <f>'Бюд.р.'!A216</f>
        <v>Закупка товаров, работ и услуг  для государственных (муниципальных) нужд</v>
      </c>
      <c r="C31" s="1812" t="str">
        <f>C30</f>
        <v>01</v>
      </c>
      <c r="D31" s="1774" t="str">
        <f>D30</f>
        <v>04</v>
      </c>
      <c r="E31" s="1585" t="str">
        <f>E30</f>
        <v>002  80 10</v>
      </c>
      <c r="F31" s="1586">
        <f>'Бюд.р.'!F216</f>
        <v>200</v>
      </c>
      <c r="G31" s="1771">
        <v>5.6</v>
      </c>
      <c r="H31" s="3088"/>
      <c r="I31" s="3086">
        <f t="shared" si="0"/>
        <v>0</v>
      </c>
    </row>
    <row r="32" spans="1:9" ht="12.75" hidden="1">
      <c r="A32" s="3045" t="s">
        <v>442</v>
      </c>
      <c r="B32" s="3059" t="str">
        <f>'Бюд.р.'!A9</f>
        <v>Обеспечение проведения выборов и референдумов</v>
      </c>
      <c r="C32" s="3047" t="s">
        <v>1166</v>
      </c>
      <c r="D32" s="2297" t="s">
        <v>1171</v>
      </c>
      <c r="E32" s="1515"/>
      <c r="F32" s="1596"/>
      <c r="G32" s="2395">
        <f>G33+G36</f>
        <v>0</v>
      </c>
      <c r="H32" s="3088"/>
      <c r="I32" s="3086" t="e">
        <f t="shared" si="0"/>
        <v>#DIV/0!</v>
      </c>
    </row>
    <row r="33" spans="1:9" ht="12.75" customHeight="1" hidden="1">
      <c r="A33" s="1799" t="s">
        <v>1183</v>
      </c>
      <c r="B33" s="1824" t="str">
        <f>'Бюд.р.'!A11</f>
        <v>Проведение выборов в представительные органы муниципального образования</v>
      </c>
      <c r="C33" s="1813" t="str">
        <f aca="true" t="shared" si="4" ref="C33:D35">C32</f>
        <v>01</v>
      </c>
      <c r="D33" s="1783" t="str">
        <f t="shared" si="4"/>
        <v>07</v>
      </c>
      <c r="E33" s="1784" t="str">
        <f>'Бюд.р.'!D11</f>
        <v>020 01 01</v>
      </c>
      <c r="F33" s="1839"/>
      <c r="G33" s="1792">
        <f>SUM(G34:G35)</f>
        <v>0</v>
      </c>
      <c r="H33" s="3088"/>
      <c r="I33" s="3086" t="e">
        <f t="shared" si="0"/>
        <v>#DIV/0!</v>
      </c>
    </row>
    <row r="34" spans="1:9" ht="36.75" customHeight="1" hidden="1">
      <c r="A34" s="3058" t="s">
        <v>653</v>
      </c>
      <c r="B34" s="1826" t="str">
        <f>'Бюд.р.'!A12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4" s="1812" t="str">
        <f t="shared" si="4"/>
        <v>01</v>
      </c>
      <c r="D34" s="1774" t="str">
        <f t="shared" si="4"/>
        <v>07</v>
      </c>
      <c r="E34" s="1585" t="str">
        <f>E33</f>
        <v>020 01 01</v>
      </c>
      <c r="F34" s="1586">
        <f>'Бюд.р.'!F12</f>
        <v>100</v>
      </c>
      <c r="G34" s="1771">
        <f>'Бюд.р.'!H12</f>
        <v>0</v>
      </c>
      <c r="H34" s="3088"/>
      <c r="I34" s="3086" t="e">
        <f t="shared" si="0"/>
        <v>#DIV/0!</v>
      </c>
    </row>
    <row r="35" spans="1:9" ht="15" customHeight="1" hidden="1">
      <c r="A35" s="3055" t="s">
        <v>1207</v>
      </c>
      <c r="B35" s="2109" t="str">
        <f>'Бюд.р.'!A15</f>
        <v>Закупка товаров, работ и услуг  для государственных (муниципальных) нужд</v>
      </c>
      <c r="C35" s="1812" t="str">
        <f t="shared" si="4"/>
        <v>01</v>
      </c>
      <c r="D35" s="1774" t="str">
        <f t="shared" si="4"/>
        <v>07</v>
      </c>
      <c r="E35" s="2938" t="str">
        <f>E34</f>
        <v>020 01 01</v>
      </c>
      <c r="F35" s="3060">
        <f>'Бюд.р.'!F15</f>
        <v>200</v>
      </c>
      <c r="G35" s="1771">
        <f>'Бюд.р.'!H15</f>
        <v>0</v>
      </c>
      <c r="H35" s="3088"/>
      <c r="I35" s="3086" t="e">
        <f t="shared" si="0"/>
        <v>#DIV/0!</v>
      </c>
    </row>
    <row r="36" spans="1:9" ht="13.5" customHeight="1" hidden="1">
      <c r="A36" s="1799" t="s">
        <v>1195</v>
      </c>
      <c r="B36" s="3061" t="str">
        <f>'Бюд.р.'!A26</f>
        <v>Повышение правовой культуры избирателей и обучение организаторов выборов</v>
      </c>
      <c r="C36" s="1813" t="str">
        <f>C35</f>
        <v>01</v>
      </c>
      <c r="D36" s="1783" t="str">
        <f>D35</f>
        <v>07</v>
      </c>
      <c r="E36" s="3062" t="str">
        <f>'Бюд.р.'!D26</f>
        <v>020 01 03</v>
      </c>
      <c r="F36" s="3063"/>
      <c r="G36" s="1792">
        <f>G37</f>
        <v>0</v>
      </c>
      <c r="H36" s="3088"/>
      <c r="I36" s="3086" t="e">
        <f t="shared" si="0"/>
        <v>#DIV/0!</v>
      </c>
    </row>
    <row r="37" spans="1:9" ht="17.25" customHeight="1" hidden="1">
      <c r="A37" s="3055" t="s">
        <v>1208</v>
      </c>
      <c r="B37" s="1846" t="str">
        <f>'Бюд.р.'!A27</f>
        <v>Закупка товаров, работ и услуг  для государственных (муниципальных) нужд</v>
      </c>
      <c r="C37" s="1812" t="str">
        <f>C36</f>
        <v>01</v>
      </c>
      <c r="D37" s="1774" t="str">
        <f>D36</f>
        <v>07</v>
      </c>
      <c r="E37" s="2938" t="str">
        <f>E36</f>
        <v>020 01 03</v>
      </c>
      <c r="F37" s="3060">
        <f>'Бюд.р.'!F27</f>
        <v>200</v>
      </c>
      <c r="G37" s="1771">
        <f>'Бюд.р.'!H27</f>
        <v>0</v>
      </c>
      <c r="H37" s="3088"/>
      <c r="I37" s="3086" t="e">
        <f t="shared" si="0"/>
        <v>#DIV/0!</v>
      </c>
    </row>
    <row r="38" spans="1:9" ht="12.75">
      <c r="A38" s="3045" t="s">
        <v>442</v>
      </c>
      <c r="B38" s="3059" t="str">
        <f>'Бюд.р.'!A227</f>
        <v>Резервные фонды</v>
      </c>
      <c r="C38" s="3047" t="s">
        <v>1166</v>
      </c>
      <c r="D38" s="1515">
        <v>11</v>
      </c>
      <c r="E38" s="1616"/>
      <c r="F38" s="1596"/>
      <c r="G38" s="2395">
        <f>G39</f>
        <v>2869.8</v>
      </c>
      <c r="H38" s="3088">
        <v>0</v>
      </c>
      <c r="I38" s="3086">
        <f t="shared" si="0"/>
        <v>0</v>
      </c>
    </row>
    <row r="39" spans="1:9" ht="12.75" hidden="1">
      <c r="A39" s="1802" t="s">
        <v>1183</v>
      </c>
      <c r="B39" s="1824" t="str">
        <f>'Бюд.р.'!A228</f>
        <v>Резервный фонд местной администрации</v>
      </c>
      <c r="C39" s="1813" t="str">
        <f>C38</f>
        <v>01</v>
      </c>
      <c r="D39" s="1784">
        <f>D38</f>
        <v>11</v>
      </c>
      <c r="E39" s="1784" t="str">
        <f>'Бюд.р.'!D228</f>
        <v>070 01 01</v>
      </c>
      <c r="F39" s="1839"/>
      <c r="G39" s="1792">
        <f>G40</f>
        <v>2869.8</v>
      </c>
      <c r="H39" s="3088"/>
      <c r="I39" s="3086">
        <f t="shared" si="0"/>
        <v>0</v>
      </c>
    </row>
    <row r="40" spans="1:9" ht="12.75" hidden="1">
      <c r="A40" s="1801" t="s">
        <v>653</v>
      </c>
      <c r="B40" s="2109" t="str">
        <f>'Бюд.р.'!A229</f>
        <v>Иные бюджетные ассигнования</v>
      </c>
      <c r="C40" s="1812" t="str">
        <f>C39</f>
        <v>01</v>
      </c>
      <c r="D40" s="1585">
        <f>D39</f>
        <v>11</v>
      </c>
      <c r="E40" s="2938" t="str">
        <f>E39</f>
        <v>070 01 01</v>
      </c>
      <c r="F40" s="3064">
        <f>'Бюд.р.'!F229</f>
        <v>800</v>
      </c>
      <c r="G40" s="1771">
        <v>2869.8</v>
      </c>
      <c r="H40" s="3088"/>
      <c r="I40" s="3086">
        <f t="shared" si="0"/>
        <v>0</v>
      </c>
    </row>
    <row r="41" spans="1:9" ht="12.75">
      <c r="A41" s="3045" t="s">
        <v>654</v>
      </c>
      <c r="B41" s="3057" t="str">
        <f>'Бюд.р.'!A233</f>
        <v>Другие общегосударственные вопросы</v>
      </c>
      <c r="C41" s="3047" t="s">
        <v>1166</v>
      </c>
      <c r="D41" s="2297" t="s">
        <v>503</v>
      </c>
      <c r="E41" s="1515"/>
      <c r="F41" s="1596"/>
      <c r="G41" s="2395">
        <f>G42+G44+G46+G48+G50+G54+G52</f>
        <v>565.3</v>
      </c>
      <c r="H41" s="3088">
        <v>565.3</v>
      </c>
      <c r="I41" s="3086">
        <f t="shared" si="0"/>
        <v>100</v>
      </c>
    </row>
    <row r="42" spans="1:9" ht="33.75" hidden="1">
      <c r="A42" s="1800" t="s">
        <v>655</v>
      </c>
      <c r="B42" s="1830" t="str">
        <f>'Бюд.р.'!A234</f>
        <v>ФОРМИРОВАНИЕ АРХИВНЫХ ФОНДОВ ОРГАНОВ МЕСТНОГО САМОУПРАВЛЕНИЯ,МУНИЦИПАЛЬНЫХ ПРЕДПРИЯТИЙ И УЧРЕЖДЕНИЙ</v>
      </c>
      <c r="C42" s="1810" t="str">
        <f aca="true" t="shared" si="5" ref="C42:C49">C41</f>
        <v>01</v>
      </c>
      <c r="D42" s="1775" t="str">
        <f aca="true" t="shared" si="6" ref="D42:D49">D41</f>
        <v>13</v>
      </c>
      <c r="E42" s="1777" t="str">
        <f>'Бюд.р.'!D234</f>
        <v>090 01 00</v>
      </c>
      <c r="F42" s="1835"/>
      <c r="G42" s="1791">
        <f>G43</f>
        <v>0</v>
      </c>
      <c r="H42" s="3088"/>
      <c r="I42" s="3086" t="e">
        <f t="shared" si="0"/>
        <v>#DIV/0!</v>
      </c>
    </row>
    <row r="43" spans="1:9" ht="15.75" customHeight="1" hidden="1">
      <c r="A43" s="1795" t="s">
        <v>656</v>
      </c>
      <c r="B43" s="1844" t="str">
        <f>'Бюд.р.'!A235</f>
        <v>Закупка товаров, работ и услуг  для государственных (муниципальных) нужд</v>
      </c>
      <c r="C43" s="1809" t="str">
        <f t="shared" si="5"/>
        <v>01</v>
      </c>
      <c r="D43" s="1773" t="str">
        <f t="shared" si="6"/>
        <v>13</v>
      </c>
      <c r="E43" s="1768" t="str">
        <f>E42</f>
        <v>090 01 00</v>
      </c>
      <c r="F43" s="1584">
        <f>'Бюд.р.'!F235</f>
        <v>200</v>
      </c>
      <c r="G43" s="1769">
        <f>'Бюд.р.'!H235</f>
        <v>0</v>
      </c>
      <c r="H43" s="3088"/>
      <c r="I43" s="3086" t="e">
        <f t="shared" si="0"/>
        <v>#DIV/0!</v>
      </c>
    </row>
    <row r="44" spans="1:9" ht="22.5" hidden="1">
      <c r="A44" s="1800" t="s">
        <v>655</v>
      </c>
      <c r="B44" s="1824" t="str">
        <f>'Бюд.р.'!A247</f>
        <v>РАСХОДЫ НА ОСУЩЕСТВЛЕНИЕ ЗАКУПОК ТОВАРОВ, РАБОТ, УСЛУГ ДЛЯ ОБЕСПЕЧЕНИЯ МУНИЦИПАЛЬНЫХ НУЖД</v>
      </c>
      <c r="C44" s="1813" t="s">
        <v>1166</v>
      </c>
      <c r="D44" s="1783" t="s">
        <v>503</v>
      </c>
      <c r="E44" s="1784" t="str">
        <f>'Бюд.р.'!D247</f>
        <v>092 02 00</v>
      </c>
      <c r="F44" s="1839"/>
      <c r="G44" s="1792">
        <f>G45</f>
        <v>120</v>
      </c>
      <c r="H44" s="3088"/>
      <c r="I44" s="3086">
        <f t="shared" si="0"/>
        <v>0</v>
      </c>
    </row>
    <row r="45" spans="1:9" ht="14.25" customHeight="1" hidden="1">
      <c r="A45" s="1795" t="s">
        <v>656</v>
      </c>
      <c r="B45" s="1831" t="str">
        <f>'Бюд.р.'!A248</f>
        <v>Закупка товаров, работ и услуг  для государственных (муниципальных) нужд</v>
      </c>
      <c r="C45" s="1809" t="str">
        <f t="shared" si="5"/>
        <v>01</v>
      </c>
      <c r="D45" s="1773" t="str">
        <f t="shared" si="6"/>
        <v>13</v>
      </c>
      <c r="E45" s="1768" t="str">
        <f>E44</f>
        <v>092 02 00</v>
      </c>
      <c r="F45" s="1584">
        <f>'Бюд.р.'!F248</f>
        <v>200</v>
      </c>
      <c r="G45" s="1769">
        <v>120</v>
      </c>
      <c r="H45" s="3088"/>
      <c r="I45" s="3086">
        <f t="shared" si="0"/>
        <v>0</v>
      </c>
    </row>
    <row r="46" spans="1:9" ht="32.25" customHeight="1" hidden="1">
      <c r="A46" s="1800" t="s">
        <v>1290</v>
      </c>
      <c r="B46" s="1824" t="str">
        <f>'Бюд.р.'!A108</f>
        <v>УПЛАТА ЧЛЕНСКИХ ВЗНОСОВ НА ОСУЩЕСТВЛЕНИЕ ДЕЯТЕЛЬНОСТИ СОВЕТА МУНИЦИПАЛЬНЫХ ОБРАЗОВАНИЙ САНКТ-ПЕТЕРБУРГА И СОДЕРЖАНИЕ ЕГО ОРГАНОВ</v>
      </c>
      <c r="C46" s="1810" t="str">
        <f t="shared" si="5"/>
        <v>01</v>
      </c>
      <c r="D46" s="1775" t="str">
        <f t="shared" si="6"/>
        <v>13</v>
      </c>
      <c r="E46" s="1776" t="str">
        <f>E47</f>
        <v>092 05 00</v>
      </c>
      <c r="F46" s="1835"/>
      <c r="G46" s="1791">
        <f>G47</f>
        <v>72</v>
      </c>
      <c r="H46" s="3088"/>
      <c r="I46" s="3086">
        <f t="shared" si="0"/>
        <v>0</v>
      </c>
    </row>
    <row r="47" spans="1:9" ht="12.75" hidden="1">
      <c r="A47" s="1795" t="s">
        <v>1295</v>
      </c>
      <c r="B47" s="1831" t="str">
        <f>'Бюд.р.'!A109</f>
        <v>Иные бюджетные ассигнования</v>
      </c>
      <c r="C47" s="1812" t="str">
        <f t="shared" si="5"/>
        <v>01</v>
      </c>
      <c r="D47" s="1773" t="str">
        <f t="shared" si="6"/>
        <v>13</v>
      </c>
      <c r="E47" s="1585" t="str">
        <f>'Бюд.р.'!D109</f>
        <v>092 05 00</v>
      </c>
      <c r="F47" s="1586">
        <f>'Бюд.р.'!F109</f>
        <v>800</v>
      </c>
      <c r="G47" s="1771">
        <v>72</v>
      </c>
      <c r="H47" s="3088"/>
      <c r="I47" s="3086">
        <f t="shared" si="0"/>
        <v>0</v>
      </c>
    </row>
    <row r="48" spans="1:9" ht="47.25" customHeight="1" hidden="1">
      <c r="A48" s="1800" t="s">
        <v>1291</v>
      </c>
      <c r="B48" s="1824" t="str">
        <f>'Бюд.р.'!A257</f>
        <v>ОРГАНИЗАЦИЯ ИНФОРМИРОВАНИЯ,КОНСУЛЬТИРОВАНИЯ И СОДЕЙСТВИЯ ЖИТЕЛЯМ МУНИЦИПАЛЬНОГО ОБРАЗОВАНИЯ ПО ВОПРОСАМ СОЗДАНИЯ ТСЖ, ФОРМИРОВАНИЯ ЗЕМЕЛЬНЫХ УЧАСТКОВ, НА КОТОРЫХ РАСПОЛОЖЕНЫ МНОГОКВАРТИРНЫЕ ДОМА</v>
      </c>
      <c r="C48" s="1813" t="str">
        <f t="shared" si="5"/>
        <v>01</v>
      </c>
      <c r="D48" s="1775" t="str">
        <f t="shared" si="6"/>
        <v>13</v>
      </c>
      <c r="E48" s="1784" t="str">
        <f>'Бюд.р.'!D257</f>
        <v>092 06 00</v>
      </c>
      <c r="F48" s="1839"/>
      <c r="G48" s="1792">
        <f>G49</f>
        <v>144</v>
      </c>
      <c r="H48" s="3088"/>
      <c r="I48" s="3086">
        <f t="shared" si="0"/>
        <v>0</v>
      </c>
    </row>
    <row r="49" spans="1:9" ht="17.25" customHeight="1" hidden="1">
      <c r="A49" s="1795" t="s">
        <v>1296</v>
      </c>
      <c r="B49" s="1826" t="str">
        <f>'Бюд.р.'!A258</f>
        <v>Закупка товаров, работ и услуг  для государственных (муниципальных) нужд</v>
      </c>
      <c r="C49" s="1812" t="str">
        <f t="shared" si="5"/>
        <v>01</v>
      </c>
      <c r="D49" s="1773" t="str">
        <f t="shared" si="6"/>
        <v>13</v>
      </c>
      <c r="E49" s="1585" t="str">
        <f>E48</f>
        <v>092 06 00</v>
      </c>
      <c r="F49" s="1586">
        <f>'Бюд.р.'!F258</f>
        <v>200</v>
      </c>
      <c r="G49" s="1771">
        <v>144</v>
      </c>
      <c r="H49" s="3088"/>
      <c r="I49" s="3086">
        <f t="shared" si="0"/>
        <v>0</v>
      </c>
    </row>
    <row r="50" spans="1:9" ht="14.25" customHeight="1" hidden="1">
      <c r="A50" s="1796" t="s">
        <v>1292</v>
      </c>
      <c r="B50" s="1820" t="str">
        <f>'Бюд.р.'!A268</f>
        <v>РАСХОДЫ НА ОСУЩЕСТВЛЕНИЕ ЗАЩИТЫ ПРАВ ПОТРЕБИТЕЛЕЙ</v>
      </c>
      <c r="C50" s="1810" t="s">
        <v>1166</v>
      </c>
      <c r="D50" s="1775" t="s">
        <v>503</v>
      </c>
      <c r="E50" s="1776" t="str">
        <f>'Бюд.р.'!D268</f>
        <v>092 10 00</v>
      </c>
      <c r="F50" s="1841"/>
      <c r="G50" s="1791">
        <f>G51</f>
        <v>45</v>
      </c>
      <c r="H50" s="3088"/>
      <c r="I50" s="3086">
        <f t="shared" si="0"/>
        <v>0</v>
      </c>
    </row>
    <row r="51" spans="1:9" ht="15.75" customHeight="1" hidden="1">
      <c r="A51" s="1795" t="s">
        <v>1297</v>
      </c>
      <c r="B51" s="1821" t="str">
        <f>'Бюд.р.'!A269</f>
        <v>Закупка товаров, работ и услуг  для государственных (муниципальных) нужд</v>
      </c>
      <c r="C51" s="1809" t="s">
        <v>1166</v>
      </c>
      <c r="D51" s="1773" t="s">
        <v>503</v>
      </c>
      <c r="E51" s="1768" t="str">
        <f>'Бюд.р.'!D269</f>
        <v>092 10 00</v>
      </c>
      <c r="F51" s="1840">
        <f>'Бюд.р.'!F269</f>
        <v>200</v>
      </c>
      <c r="G51" s="1769">
        <v>45</v>
      </c>
      <c r="H51" s="3088"/>
      <c r="I51" s="3086">
        <f t="shared" si="0"/>
        <v>0</v>
      </c>
    </row>
    <row r="52" spans="1:9" ht="29.25" customHeight="1" hidden="1">
      <c r="A52" s="1796" t="s">
        <v>1293</v>
      </c>
      <c r="B52" s="1820" t="str">
        <f>'Бюд.р.'!A273</f>
        <v>Ведомственная целевая программа  по участию в деятельности по профилактике правонарушений в Санкт-Петербурге на территории МО</v>
      </c>
      <c r="C52" s="1810" t="s">
        <v>1166</v>
      </c>
      <c r="D52" s="1775" t="s">
        <v>503</v>
      </c>
      <c r="E52" s="1776" t="str">
        <f>'Бюд.р.'!D273</f>
        <v>795 02 00</v>
      </c>
      <c r="F52" s="1841"/>
      <c r="G52" s="1791">
        <f>G53</f>
        <v>80.6</v>
      </c>
      <c r="H52" s="3088"/>
      <c r="I52" s="3086">
        <f t="shared" si="0"/>
        <v>0</v>
      </c>
    </row>
    <row r="53" spans="1:9" ht="15.75" customHeight="1" hidden="1">
      <c r="A53" s="1795" t="s">
        <v>1298</v>
      </c>
      <c r="B53" s="1821" t="str">
        <f>'Бюд.р.'!A274</f>
        <v>Закупка товаров, работ и услуг  для государственных (муниципальных) нужд</v>
      </c>
      <c r="C53" s="1809" t="s">
        <v>1166</v>
      </c>
      <c r="D53" s="1773" t="s">
        <v>503</v>
      </c>
      <c r="E53" s="1768" t="str">
        <f>'Бюд.р.'!D279</f>
        <v>795 02 00</v>
      </c>
      <c r="F53" s="1840">
        <f>'Бюд.р.'!F274</f>
        <v>200</v>
      </c>
      <c r="G53" s="1769">
        <v>80.6</v>
      </c>
      <c r="H53" s="3088"/>
      <c r="I53" s="3086">
        <f t="shared" si="0"/>
        <v>0</v>
      </c>
    </row>
    <row r="54" spans="1:9" ht="51" customHeight="1" hidden="1">
      <c r="A54" s="1796" t="s">
        <v>1294</v>
      </c>
      <c r="B54" s="1820" t="str">
        <f>'Бюд.р.'!A280</f>
        <v>Ведомственная целевая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и информировании населения о вреде потребления табака и вредном воздействии окружающего табачного дыма</v>
      </c>
      <c r="C54" s="1810" t="s">
        <v>1166</v>
      </c>
      <c r="D54" s="1775" t="s">
        <v>503</v>
      </c>
      <c r="E54" s="1776" t="str">
        <f>'Бюд.р.'!D280</f>
        <v>795 11 00</v>
      </c>
      <c r="F54" s="1841"/>
      <c r="G54" s="1791">
        <f>G55</f>
        <v>103.7</v>
      </c>
      <c r="H54" s="3088"/>
      <c r="I54" s="3086">
        <f t="shared" si="0"/>
        <v>0</v>
      </c>
    </row>
    <row r="55" spans="1:9" ht="15.75" customHeight="1" hidden="1">
      <c r="A55" s="1795" t="s">
        <v>1299</v>
      </c>
      <c r="B55" s="1821" t="str">
        <f>'Бюд.р.'!A281</f>
        <v>Закупка товаров, работ и услуг  для государственных (муниципальных) нужд</v>
      </c>
      <c r="C55" s="1809" t="s">
        <v>1166</v>
      </c>
      <c r="D55" s="1773" t="s">
        <v>503</v>
      </c>
      <c r="E55" s="1768" t="str">
        <f>'Бюд.р.'!D281</f>
        <v>795 11 00</v>
      </c>
      <c r="F55" s="1840">
        <f>'Бюд.р.'!F281</f>
        <v>200</v>
      </c>
      <c r="G55" s="1769">
        <v>103.7</v>
      </c>
      <c r="H55" s="3088"/>
      <c r="I55" s="3086">
        <f t="shared" si="0"/>
        <v>0</v>
      </c>
    </row>
    <row r="56" spans="1:9" ht="26.25" customHeight="1">
      <c r="A56" s="1794" t="s">
        <v>107</v>
      </c>
      <c r="B56" s="1819" t="str">
        <f>'Бюд.р.'!A286</f>
        <v>НАЦИОНАЛЬНАЯ БЕЗОПАСНОСТЬ И ПРАВООХРАНИТЕЛЬНАЯ ДЕЯТЕЛЬНОСТЬ</v>
      </c>
      <c r="C56" s="1808" t="s">
        <v>1168</v>
      </c>
      <c r="D56" s="1781"/>
      <c r="E56" s="1611"/>
      <c r="F56" s="1667"/>
      <c r="G56" s="2295">
        <f>G57</f>
        <v>227.6</v>
      </c>
      <c r="H56" s="3097">
        <f>H57</f>
        <v>227.6</v>
      </c>
      <c r="I56" s="3095">
        <f t="shared" si="0"/>
        <v>100</v>
      </c>
    </row>
    <row r="57" spans="1:9" ht="27" customHeight="1">
      <c r="A57" s="3045" t="s">
        <v>280</v>
      </c>
      <c r="B57" s="3065" t="str">
        <f>'Бюд.р.'!A287</f>
        <v>Защита населения и территории от чрезвычайных ситуаций природного и техногенного характера, гражданская оборона</v>
      </c>
      <c r="C57" s="3047" t="str">
        <f>C56</f>
        <v>03</v>
      </c>
      <c r="D57" s="2297" t="s">
        <v>1172</v>
      </c>
      <c r="E57" s="1515"/>
      <c r="F57" s="1596"/>
      <c r="G57" s="2395">
        <f>G58+G60</f>
        <v>227.6</v>
      </c>
      <c r="H57" s="3088">
        <v>227.6</v>
      </c>
      <c r="I57" s="3086">
        <f t="shared" si="0"/>
        <v>100</v>
      </c>
    </row>
    <row r="58" spans="1:9" ht="92.25" customHeight="1" hidden="1">
      <c r="A58" s="1796" t="s">
        <v>187</v>
      </c>
      <c r="B58" s="1829" t="str">
        <f>'Бюд.р.'!A288</f>
        <v>Ведомственная целевая программа  по осуществлению содействия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ЧС, а также содействия в информировании населения  об угрозе возникновения или возникновении чрезвычайной ситуации; по проведению подготовки и обучения неработающего населения способам защиты и действиям в чрезвычайных ситуациях, а так же способам защиты от опасностей, возникающих при ведении военных действий или вследствие этих действий</v>
      </c>
      <c r="C58" s="1810" t="s">
        <v>1168</v>
      </c>
      <c r="D58" s="1775" t="s">
        <v>1172</v>
      </c>
      <c r="E58" s="1776" t="str">
        <f>'Бюд.р.'!D288</f>
        <v>795 03 00</v>
      </c>
      <c r="F58" s="1835"/>
      <c r="G58" s="1791">
        <f>G59</f>
        <v>142</v>
      </c>
      <c r="H58" s="3088"/>
      <c r="I58" s="3086">
        <f t="shared" si="0"/>
        <v>0</v>
      </c>
    </row>
    <row r="59" spans="1:9" ht="15" customHeight="1" hidden="1">
      <c r="A59" s="1795" t="s">
        <v>188</v>
      </c>
      <c r="B59" s="1844" t="str">
        <f>'Бюд.р.'!A289</f>
        <v>Закупка товаров, работ и услуг  для государственных (муниципальных) нужд</v>
      </c>
      <c r="C59" s="1809" t="str">
        <f>C58</f>
        <v>03</v>
      </c>
      <c r="D59" s="1773" t="str">
        <f>D58</f>
        <v>09</v>
      </c>
      <c r="E59" s="1768" t="str">
        <f>E58</f>
        <v>795 03 00</v>
      </c>
      <c r="F59" s="1584">
        <f>'Бюд.р.'!F289</f>
        <v>200</v>
      </c>
      <c r="G59" s="1769">
        <v>142</v>
      </c>
      <c r="H59" s="3088"/>
      <c r="I59" s="3086">
        <f t="shared" si="0"/>
        <v>0</v>
      </c>
    </row>
    <row r="60" spans="1:9" ht="36" customHeight="1" hidden="1">
      <c r="A60" s="1796" t="s">
        <v>502</v>
      </c>
      <c r="B60" s="1825" t="str">
        <f>'Бюд.р.'!A309</f>
        <v>Ведомственная целевая программа   по участию в профилактике  терроризма и экстремизма, а также  минимизации и (или) ликвидации последствий проявления терроризма и экстремизма на территории МО </v>
      </c>
      <c r="C60" s="1814" t="str">
        <f>C59</f>
        <v>03</v>
      </c>
      <c r="D60" s="1793" t="str">
        <f>D59</f>
        <v>09</v>
      </c>
      <c r="E60" s="1790" t="str">
        <f>'Бюд.р.'!D309</f>
        <v>795 05 00</v>
      </c>
      <c r="F60" s="1841"/>
      <c r="G60" s="1791">
        <f>G61</f>
        <v>85.6</v>
      </c>
      <c r="H60" s="3088"/>
      <c r="I60" s="3086">
        <f t="shared" si="0"/>
        <v>0</v>
      </c>
    </row>
    <row r="61" spans="1:9" ht="13.5" customHeight="1" hidden="1">
      <c r="A61" s="1798" t="s">
        <v>189</v>
      </c>
      <c r="B61" s="1846" t="str">
        <f>'Бюд.р.'!A310</f>
        <v>Закупка товаров, работ и услуг  для государственных (муниципальных) нужд</v>
      </c>
      <c r="C61" s="1815" t="str">
        <f>C60</f>
        <v>03</v>
      </c>
      <c r="D61" s="1767" t="str">
        <f>D60</f>
        <v>09</v>
      </c>
      <c r="E61" s="1770" t="str">
        <f>E60</f>
        <v>795 05 00</v>
      </c>
      <c r="F61" s="1840">
        <f>'Бюд.р.'!F310</f>
        <v>200</v>
      </c>
      <c r="G61" s="1769">
        <v>85.6</v>
      </c>
      <c r="H61" s="3088"/>
      <c r="I61" s="3086">
        <f t="shared" si="0"/>
        <v>0</v>
      </c>
    </row>
    <row r="62" spans="1:9" ht="16.5" customHeight="1">
      <c r="A62" s="3098">
        <v>3</v>
      </c>
      <c r="B62" s="2462" t="str">
        <f>'Бюд.р.'!A315</f>
        <v>НАЦИОНАЛЬНАЯ ЭКОНОМИКА</v>
      </c>
      <c r="C62" s="1808" t="s">
        <v>1169</v>
      </c>
      <c r="D62" s="1781"/>
      <c r="E62" s="1611"/>
      <c r="F62" s="1667"/>
      <c r="G62" s="2295">
        <f>G63+G66</f>
        <v>172.4</v>
      </c>
      <c r="H62" s="2295">
        <f>H63+H66</f>
        <v>172.4</v>
      </c>
      <c r="I62" s="3095">
        <f t="shared" si="0"/>
        <v>100</v>
      </c>
    </row>
    <row r="63" spans="1:9" ht="17.25" customHeight="1">
      <c r="A63" s="3045" t="s">
        <v>235</v>
      </c>
      <c r="B63" s="3065" t="str">
        <f>'Бюд.р.'!A316</f>
        <v>Общеэкономические вопросы</v>
      </c>
      <c r="C63" s="3047" t="s">
        <v>1169</v>
      </c>
      <c r="D63" s="2297" t="s">
        <v>1166</v>
      </c>
      <c r="E63" s="1515"/>
      <c r="F63" s="1596"/>
      <c r="G63" s="2395">
        <f>G64</f>
        <v>152.4</v>
      </c>
      <c r="H63" s="3088">
        <v>152.4</v>
      </c>
      <c r="I63" s="3086">
        <f t="shared" si="0"/>
        <v>100</v>
      </c>
    </row>
    <row r="64" spans="1:9" ht="22.5" hidden="1">
      <c r="A64" s="1796" t="s">
        <v>195</v>
      </c>
      <c r="B64" s="1832" t="str">
        <f>'Бюд.р.'!A317</f>
        <v>ВРЕМЕННОЕ ТРУДОУСТРОЙСТВО НЕСОВЕРШЕННОЛЕТНИХ В ВОЗРАСТЕ ОТ 14 ДО 18 ЛЕТ В СВОБОДНОЕ ОТ УЧЕБЫ ВРЕМЯ</v>
      </c>
      <c r="C64" s="1813" t="str">
        <f>C63</f>
        <v>04</v>
      </c>
      <c r="D64" s="1783" t="str">
        <f>D63</f>
        <v>01</v>
      </c>
      <c r="E64" s="1784" t="str">
        <f>'Бюд.р.'!D317</f>
        <v>510 02 00</v>
      </c>
      <c r="F64" s="1839"/>
      <c r="G64" s="1791">
        <f>G65</f>
        <v>152.4</v>
      </c>
      <c r="H64" s="3088"/>
      <c r="I64" s="3086">
        <f t="shared" si="0"/>
        <v>0</v>
      </c>
    </row>
    <row r="65" spans="1:9" ht="12.75" hidden="1">
      <c r="A65" s="1797" t="s">
        <v>669</v>
      </c>
      <c r="B65" s="1831" t="str">
        <f>'Бюд.р.'!A318</f>
        <v>Иные бюджетные ассигнования</v>
      </c>
      <c r="C65" s="1809" t="str">
        <f>C64</f>
        <v>04</v>
      </c>
      <c r="D65" s="1773" t="str">
        <f>D64</f>
        <v>01</v>
      </c>
      <c r="E65" s="1768" t="str">
        <f>E64</f>
        <v>510 02 00</v>
      </c>
      <c r="F65" s="1584">
        <f>'Бюд.р.'!F318</f>
        <v>800</v>
      </c>
      <c r="G65" s="1769">
        <v>152.4</v>
      </c>
      <c r="H65" s="3088"/>
      <c r="I65" s="3086">
        <f t="shared" si="0"/>
        <v>0</v>
      </c>
    </row>
    <row r="66" spans="1:9" ht="15" customHeight="1">
      <c r="A66" s="3045" t="s">
        <v>8</v>
      </c>
      <c r="B66" s="3059" t="str">
        <f>'Бюд.р.'!A327</f>
        <v>Другие вопросы в области национальной экономики</v>
      </c>
      <c r="C66" s="3047" t="str">
        <f>C65</f>
        <v>04</v>
      </c>
      <c r="D66" s="1515">
        <v>12</v>
      </c>
      <c r="E66" s="1515"/>
      <c r="F66" s="1596"/>
      <c r="G66" s="2395">
        <f>G67</f>
        <v>20</v>
      </c>
      <c r="H66" s="3088">
        <v>20</v>
      </c>
      <c r="I66" s="3086">
        <f t="shared" si="0"/>
        <v>100</v>
      </c>
    </row>
    <row r="67" spans="1:9" ht="22.5" hidden="1">
      <c r="A67" s="1800" t="s">
        <v>9</v>
      </c>
      <c r="B67" s="1824" t="str">
        <f>'Бюд.р.'!A328</f>
        <v>Ведомственная целевая программа по содействия развитию малого бизнеса на территории МО</v>
      </c>
      <c r="C67" s="1813" t="str">
        <f>C66</f>
        <v>04</v>
      </c>
      <c r="D67" s="1776">
        <f>D66</f>
        <v>12</v>
      </c>
      <c r="E67" s="1784" t="str">
        <f>'Бюд.р.'!D328</f>
        <v>795 07 00</v>
      </c>
      <c r="F67" s="1839"/>
      <c r="G67" s="1792">
        <f>G68</f>
        <v>20</v>
      </c>
      <c r="H67" s="3088"/>
      <c r="I67" s="3086">
        <f t="shared" si="0"/>
        <v>0</v>
      </c>
    </row>
    <row r="68" spans="1:9" ht="15" customHeight="1" hidden="1">
      <c r="A68" s="1797" t="s">
        <v>32</v>
      </c>
      <c r="B68" s="1845" t="str">
        <f>'Бюд.р.'!A329</f>
        <v>Закупка товаров, работ и услуг  для государственных (муниципальных) нужд</v>
      </c>
      <c r="C68" s="1809" t="str">
        <f>C67</f>
        <v>04</v>
      </c>
      <c r="D68" s="1585">
        <f>D67</f>
        <v>12</v>
      </c>
      <c r="E68" s="1768" t="str">
        <f>E67</f>
        <v>795 07 00</v>
      </c>
      <c r="F68" s="1584">
        <f>'Бюд.р.'!F329</f>
        <v>200</v>
      </c>
      <c r="G68" s="1769">
        <v>20</v>
      </c>
      <c r="H68" s="3088"/>
      <c r="I68" s="3086">
        <f t="shared" si="0"/>
        <v>0</v>
      </c>
    </row>
    <row r="69" spans="1:9" ht="15.75" customHeight="1">
      <c r="A69" s="1794" t="s">
        <v>614</v>
      </c>
      <c r="B69" s="1828" t="str">
        <f>'Бюд.р.'!A333</f>
        <v>ЖИЛИЩНО-КОММУНАЛЬНОЕ ХОЗЯЙСТВО</v>
      </c>
      <c r="C69" s="1808" t="s">
        <v>1173</v>
      </c>
      <c r="D69" s="1781"/>
      <c r="E69" s="1611"/>
      <c r="F69" s="1667"/>
      <c r="G69" s="2295">
        <f>G70</f>
        <v>51177.6</v>
      </c>
      <c r="H69" s="2295">
        <f>H70</f>
        <v>51177.6</v>
      </c>
      <c r="I69" s="3095">
        <f t="shared" si="0"/>
        <v>100</v>
      </c>
    </row>
    <row r="70" spans="1:9" ht="15.75" customHeight="1">
      <c r="A70" s="3045" t="s">
        <v>615</v>
      </c>
      <c r="B70" s="3065" t="str">
        <f>'Бюд.р.'!A334</f>
        <v>Благоустройство</v>
      </c>
      <c r="C70" s="3047" t="s">
        <v>1173</v>
      </c>
      <c r="D70" s="2297" t="s">
        <v>1168</v>
      </c>
      <c r="E70" s="3066"/>
      <c r="F70" s="1615"/>
      <c r="G70" s="2395">
        <f>G71+G74+G76+G78+G82+G84+G86+G90+G92+G94+G96</f>
        <v>51177.6</v>
      </c>
      <c r="H70" s="3088">
        <v>51177.6</v>
      </c>
      <c r="I70" s="3086">
        <f t="shared" si="0"/>
        <v>100</v>
      </c>
    </row>
    <row r="71" spans="1:9" ht="25.5" customHeight="1" hidden="1">
      <c r="A71" s="1802" t="s">
        <v>435</v>
      </c>
      <c r="B71" s="1832" t="str">
        <f>'Бюд.р.'!A336</f>
        <v>ТЕКУЩИЙ РЕМОНТ ПРИДОМОВЫХ ТЕРРИТОРИЙ И ДВОРОВЫХ ТЕРРИТОРИЙ , ВКЛЮЧАЯ ПРОЕЗДЫ И ВЪЕЗДЫ,ПЕШЕХОДНЫЕ ДОРОЖКИ</v>
      </c>
      <c r="C71" s="1813" t="str">
        <f aca="true" t="shared" si="7" ref="C71:D75">C70</f>
        <v>05</v>
      </c>
      <c r="D71" s="1783" t="str">
        <f t="shared" si="7"/>
        <v>03</v>
      </c>
      <c r="E71" s="1784" t="str">
        <f>'Бюд.р.'!D336</f>
        <v>600 01 01</v>
      </c>
      <c r="F71" s="1841"/>
      <c r="G71" s="1791">
        <f>SUM(G72:G73)</f>
        <v>32868.3</v>
      </c>
      <c r="H71" s="3088"/>
      <c r="I71" s="3086">
        <f t="shared" si="0"/>
        <v>0</v>
      </c>
    </row>
    <row r="72" spans="1:9" ht="13.5" customHeight="1" hidden="1">
      <c r="A72" s="1795" t="s">
        <v>436</v>
      </c>
      <c r="B72" s="1831" t="str">
        <f>'Бюд.р.'!A337</f>
        <v>Закупка товаров, работ и услуг  для государственных (муниципальных) нужд</v>
      </c>
      <c r="C72" s="1809" t="str">
        <f t="shared" si="7"/>
        <v>05</v>
      </c>
      <c r="D72" s="1773" t="str">
        <f t="shared" si="7"/>
        <v>03</v>
      </c>
      <c r="E72" s="1768" t="str">
        <f>E71</f>
        <v>600 01 01</v>
      </c>
      <c r="F72" s="1584">
        <f>'Бюд.р.'!F337</f>
        <v>200</v>
      </c>
      <c r="G72" s="1769">
        <v>32325.9</v>
      </c>
      <c r="H72" s="3088"/>
      <c r="I72" s="3086">
        <f t="shared" si="0"/>
        <v>0</v>
      </c>
    </row>
    <row r="73" spans="1:9" ht="13.5" customHeight="1" hidden="1">
      <c r="A73" s="1795" t="s">
        <v>1390</v>
      </c>
      <c r="B73" s="1831" t="str">
        <f>'Бюд.р.'!A342</f>
        <v>Иные бюджетные ассигнования</v>
      </c>
      <c r="C73" s="1809" t="s">
        <v>1173</v>
      </c>
      <c r="D73" s="1773" t="s">
        <v>1168</v>
      </c>
      <c r="E73" s="1768" t="str">
        <f>E71</f>
        <v>600 01 01</v>
      </c>
      <c r="F73" s="1584">
        <f>'Бюд.р.'!F342</f>
        <v>800</v>
      </c>
      <c r="G73" s="1769">
        <v>542.4</v>
      </c>
      <c r="H73" s="3088"/>
      <c r="I73" s="3086">
        <f t="shared" si="0"/>
        <v>0</v>
      </c>
    </row>
    <row r="74" spans="1:9" ht="23.25" customHeight="1" hidden="1">
      <c r="A74" s="1800" t="s">
        <v>1174</v>
      </c>
      <c r="B74" s="1824" t="str">
        <f>'Бюд.р.'!A346</f>
        <v>ОРГАНИЗАЦИЯ ДОПОЛНИТЕЛЬНЫХ  ПАРКОВОЧНЫХ МЕСТ НА ДВОРОВЫХ ТЕРРИТОРИЯХ</v>
      </c>
      <c r="C74" s="1813" t="str">
        <f>C72</f>
        <v>05</v>
      </c>
      <c r="D74" s="1775" t="str">
        <f>D72</f>
        <v>03</v>
      </c>
      <c r="E74" s="1784" t="str">
        <f>'Бюд.р.'!D346</f>
        <v>600 01 01</v>
      </c>
      <c r="F74" s="1839"/>
      <c r="G74" s="1792">
        <f>G75</f>
        <v>369.7</v>
      </c>
      <c r="H74" s="3088"/>
      <c r="I74" s="3086">
        <f aca="true" t="shared" si="8" ref="I74:I137">H74/G74%</f>
        <v>0</v>
      </c>
    </row>
    <row r="75" spans="1:9" ht="14.25" customHeight="1" hidden="1">
      <c r="A75" s="1795" t="s">
        <v>1209</v>
      </c>
      <c r="B75" s="1831" t="str">
        <f>'Бюд.р.'!A347</f>
        <v>Закупка товаров, работ и услуг  для государственных (муниципальных) нужд</v>
      </c>
      <c r="C75" s="1809" t="str">
        <f t="shared" si="7"/>
        <v>05</v>
      </c>
      <c r="D75" s="1773" t="str">
        <f t="shared" si="7"/>
        <v>03</v>
      </c>
      <c r="E75" s="1768" t="str">
        <f>'Бюд.р.'!D347</f>
        <v>600 01 02</v>
      </c>
      <c r="F75" s="1584">
        <f>'Бюд.р.'!F347</f>
        <v>200</v>
      </c>
      <c r="G75" s="1769">
        <v>369.7</v>
      </c>
      <c r="H75" s="3088"/>
      <c r="I75" s="3086">
        <f t="shared" si="8"/>
        <v>0</v>
      </c>
    </row>
    <row r="76" spans="1:9" ht="13.5" customHeight="1" hidden="1">
      <c r="A76" s="1800" t="s">
        <v>1175</v>
      </c>
      <c r="B76" s="1825" t="str">
        <f>'Бюд.р.'!A351</f>
        <v>УСТАНОВКА,СОДЕРЖАНИЕ И РЕМОНТ ОГРАЖДЕНИЙ ГАЗОНОВ </v>
      </c>
      <c r="C76" s="1814" t="s">
        <v>1173</v>
      </c>
      <c r="D76" s="1775" t="s">
        <v>1168</v>
      </c>
      <c r="E76" s="1776" t="str">
        <f>'Бюд.р.'!D351</f>
        <v>600 01 03</v>
      </c>
      <c r="F76" s="1835"/>
      <c r="G76" s="1791">
        <f>G77</f>
        <v>2318.2</v>
      </c>
      <c r="H76" s="3088"/>
      <c r="I76" s="3086">
        <f t="shared" si="8"/>
        <v>0</v>
      </c>
    </row>
    <row r="77" spans="1:9" ht="15" customHeight="1" hidden="1">
      <c r="A77" s="1795" t="s">
        <v>1210</v>
      </c>
      <c r="B77" s="1831" t="str">
        <f>'Бюд.р.'!A352</f>
        <v>Закупка товаров, работ и услуг  для государственных (муниципальных) нужд</v>
      </c>
      <c r="C77" s="1815" t="str">
        <f>C76</f>
        <v>05</v>
      </c>
      <c r="D77" s="1773" t="str">
        <f>D76</f>
        <v>03</v>
      </c>
      <c r="E77" s="1768" t="str">
        <f>E76</f>
        <v>600 01 03</v>
      </c>
      <c r="F77" s="1584">
        <f>'Бюд.р.'!F352</f>
        <v>200</v>
      </c>
      <c r="G77" s="1769">
        <v>2318.2</v>
      </c>
      <c r="H77" s="3088"/>
      <c r="I77" s="3086">
        <f t="shared" si="8"/>
        <v>0</v>
      </c>
    </row>
    <row r="78" spans="1:9" ht="33.75" hidden="1">
      <c r="A78" s="1800" t="s">
        <v>1176</v>
      </c>
      <c r="B78" s="1824" t="str">
        <f>'Бюд.р.'!A362</f>
        <v>УСТАНОВКА И СОДЕРЖАНИЕ МАЛЫХ АРХИТЕКТУРНЫХ ФОРМ, УЛИЧНОЙ МЕБЕЛИ И ХОЗЯЙСТВЕННОГО-БЫТОВОГО ОБОРУДОВАНИЯ, НЕОБХОДИМОГО ДЛЯ БЛАГОУСТРОЙСТВА ТЕРРИТОРИИ МО</v>
      </c>
      <c r="C78" s="1810" t="str">
        <f aca="true" t="shared" si="9" ref="C78:D80">C77</f>
        <v>05</v>
      </c>
      <c r="D78" s="1775" t="str">
        <f t="shared" si="9"/>
        <v>03</v>
      </c>
      <c r="E78" s="1776" t="str">
        <f>'Бюд.р.'!D362</f>
        <v>600 01 04</v>
      </c>
      <c r="F78" s="1835"/>
      <c r="G78" s="1791">
        <f>G79</f>
        <v>1634.7</v>
      </c>
      <c r="H78" s="3088"/>
      <c r="I78" s="3086">
        <f t="shared" si="8"/>
        <v>0</v>
      </c>
    </row>
    <row r="79" spans="1:9" ht="16.5" customHeight="1" hidden="1">
      <c r="A79" s="1795" t="s">
        <v>1211</v>
      </c>
      <c r="B79" s="1821" t="str">
        <f>'Бюд.р.'!A363</f>
        <v>Закупка товаров, работ и услуг  для государственных (муниципальных) нужд</v>
      </c>
      <c r="C79" s="1812" t="str">
        <f t="shared" si="9"/>
        <v>05</v>
      </c>
      <c r="D79" s="1773" t="str">
        <f t="shared" si="9"/>
        <v>03</v>
      </c>
      <c r="E79" s="1768" t="str">
        <f>E78</f>
        <v>600 01 04</v>
      </c>
      <c r="F79" s="1840">
        <f>'Бюд.р.'!F363</f>
        <v>200</v>
      </c>
      <c r="G79" s="1769">
        <v>1634.7</v>
      </c>
      <c r="H79" s="3088"/>
      <c r="I79" s="3086">
        <f t="shared" si="8"/>
        <v>0</v>
      </c>
    </row>
    <row r="80" spans="1:9" ht="35.25" customHeight="1" hidden="1">
      <c r="A80" s="117"/>
      <c r="B80" s="1830" t="str">
        <f>'Бюд.р.'!A371</f>
        <v>ОБОРУДОВАНИЕ КОНТЕЙНЕРНЫХ ПЛОЩАДОК НА ТЕРРИТОРИЯХ ДВОРОВ</v>
      </c>
      <c r="C80" s="1810" t="str">
        <f t="shared" si="9"/>
        <v>05</v>
      </c>
      <c r="D80" s="1775" t="str">
        <f t="shared" si="9"/>
        <v>03</v>
      </c>
      <c r="E80" s="1776" t="str">
        <f>'Бюд.р.'!D371</f>
        <v>600 02 01</v>
      </c>
      <c r="F80" s="1835"/>
      <c r="G80" s="1791">
        <f>G81</f>
        <v>0</v>
      </c>
      <c r="H80" s="3088"/>
      <c r="I80" s="3086" t="e">
        <f t="shared" si="8"/>
        <v>#DIV/0!</v>
      </c>
    </row>
    <row r="81" spans="1:9" ht="15.75" customHeight="1" hidden="1">
      <c r="A81" s="117"/>
      <c r="B81" s="1831" t="str">
        <f>'Бюд.р.'!A372</f>
        <v>Закупка товаров, работ и услуг  для государственных (муниципальных) нужд</v>
      </c>
      <c r="C81" s="1815" t="s">
        <v>1173</v>
      </c>
      <c r="D81" s="1773" t="s">
        <v>1168</v>
      </c>
      <c r="E81" s="1768" t="str">
        <f>E80</f>
        <v>600 02 01</v>
      </c>
      <c r="F81" s="1584">
        <f>'Бюд.р.'!F372</f>
        <v>200</v>
      </c>
      <c r="G81" s="1769">
        <f>'Бюд.р.'!H372</f>
        <v>0</v>
      </c>
      <c r="H81" s="3088"/>
      <c r="I81" s="3086" t="e">
        <f t="shared" si="8"/>
        <v>#DIV/0!</v>
      </c>
    </row>
    <row r="82" spans="1:9" ht="25.5" customHeight="1" hidden="1">
      <c r="A82" s="1796" t="s">
        <v>1177</v>
      </c>
      <c r="B82" s="1824" t="str">
        <f>'Бюд.р.'!A382</f>
        <v>ЛИКВИДАЦИЯ НЕСАНКЦИОНИРОВАННЫХ СВАЛОК БЫТОВЫХ ОТХОДОВ, МУСОРА, УБОРКА ТЕРРИТОРИЙ, ВОДНЫХ АКВАТОРИЙ, ТУПИКОВ И ПРОЕЗДОВ</v>
      </c>
      <c r="C82" s="1814" t="str">
        <f aca="true" t="shared" si="10" ref="C82:D85">C81</f>
        <v>05</v>
      </c>
      <c r="D82" s="1775" t="str">
        <f t="shared" si="10"/>
        <v>03</v>
      </c>
      <c r="E82" s="1784" t="str">
        <f>'Бюд.р.'!D382</f>
        <v>600 02 04</v>
      </c>
      <c r="F82" s="1839"/>
      <c r="G82" s="1792">
        <f>G83</f>
        <v>198.2</v>
      </c>
      <c r="H82" s="3088"/>
      <c r="I82" s="3086">
        <f t="shared" si="8"/>
        <v>0</v>
      </c>
    </row>
    <row r="83" spans="1:9" ht="22.5" hidden="1">
      <c r="A83" s="1795" t="s">
        <v>1212</v>
      </c>
      <c r="B83" s="1833" t="str">
        <f>'Бюд.р.'!A383</f>
        <v>Закупка товаров, работ и услуг  для государственных (муниципальных) нужд</v>
      </c>
      <c r="C83" s="1809" t="str">
        <f t="shared" si="10"/>
        <v>05</v>
      </c>
      <c r="D83" s="1773" t="str">
        <f t="shared" si="10"/>
        <v>03</v>
      </c>
      <c r="E83" s="1768" t="str">
        <f>E82</f>
        <v>600 02 04</v>
      </c>
      <c r="F83" s="1584">
        <f>'Бюд.р.'!F383</f>
        <v>200</v>
      </c>
      <c r="G83" s="1769">
        <v>198.2</v>
      </c>
      <c r="H83" s="3088"/>
      <c r="I83" s="3086">
        <f t="shared" si="8"/>
        <v>0</v>
      </c>
    </row>
    <row r="84" spans="1:9" ht="29.25" customHeight="1" hidden="1">
      <c r="A84" s="1796" t="s">
        <v>1178</v>
      </c>
      <c r="B84" s="1827" t="str">
        <f>'Бюд.р.'!A391</f>
        <v>ОЗЕЛЕНЕНИЕ , СОДЕРЖАНИЕ И РЕМОНТ ТЕРРИТОРИЙ  ЗЕЛЕНЫХ НАСАЖДЕНИЙ ВНУТРИКВАРТАЛЬНОГО ОЗЕЛЕНЕНИЯ, КОМПЕНСАЦИОННОЕ ОЗЕЛЕНЕНИЕ</v>
      </c>
      <c r="C84" s="1813" t="str">
        <f t="shared" si="10"/>
        <v>05</v>
      </c>
      <c r="D84" s="1775" t="str">
        <f t="shared" si="10"/>
        <v>03</v>
      </c>
      <c r="E84" s="1776" t="str">
        <f>'Бюд.р.'!D391</f>
        <v>600 03 01</v>
      </c>
      <c r="F84" s="1835"/>
      <c r="G84" s="1791">
        <f>G85</f>
        <v>7298</v>
      </c>
      <c r="H84" s="3088"/>
      <c r="I84" s="3086">
        <f t="shared" si="8"/>
        <v>0</v>
      </c>
    </row>
    <row r="85" spans="1:9" ht="22.5" hidden="1">
      <c r="A85" s="1798" t="s">
        <v>1213</v>
      </c>
      <c r="B85" s="1826" t="str">
        <f>'Бюд.р.'!A392</f>
        <v>Закупка товаров, работ и услуг  для государственных (муниципальных) нужд</v>
      </c>
      <c r="C85" s="1809" t="str">
        <f t="shared" si="10"/>
        <v>05</v>
      </c>
      <c r="D85" s="1773" t="str">
        <f t="shared" si="10"/>
        <v>03</v>
      </c>
      <c r="E85" s="1585" t="str">
        <f>E84</f>
        <v>600 03 01</v>
      </c>
      <c r="F85" s="1586">
        <f>'Бюд.р.'!F392</f>
        <v>200</v>
      </c>
      <c r="G85" s="1771">
        <v>7298</v>
      </c>
      <c r="H85" s="3088"/>
      <c r="I85" s="3086">
        <f t="shared" si="8"/>
        <v>0</v>
      </c>
    </row>
    <row r="86" spans="1:9" ht="22.5" customHeight="1" hidden="1">
      <c r="A86" s="1796" t="s">
        <v>1179</v>
      </c>
      <c r="B86" s="1829" t="str">
        <f>'Бюд.р.'!A401</f>
        <v>ПРОВЕДЕНИЕ САНИТАРНЫХ РУБОК, УДАЛЕНИЕ АВАРИЙНЫХ, БОЛЬНЫХ ДЕРЕВЬЕВ И КУСТАРНИКОВ В ОТНОШЕНИИ ЗЕЛЕНЫХ НАСАЖДЕНИЙ ВНУТРИКВАРТАЛЬНОГО ОЗЕЛЕНЕНИЯ</v>
      </c>
      <c r="C86" s="1814" t="s">
        <v>1173</v>
      </c>
      <c r="D86" s="1775" t="s">
        <v>1168</v>
      </c>
      <c r="E86" s="1776" t="str">
        <f>'Бюд.р.'!D401</f>
        <v>600 03 02</v>
      </c>
      <c r="F86" s="1835"/>
      <c r="G86" s="1791">
        <f>G87</f>
        <v>296.9</v>
      </c>
      <c r="H86" s="3088"/>
      <c r="I86" s="3086">
        <f t="shared" si="8"/>
        <v>0</v>
      </c>
    </row>
    <row r="87" spans="1:9" ht="15" customHeight="1" hidden="1">
      <c r="A87" s="1795" t="s">
        <v>1214</v>
      </c>
      <c r="B87" s="1831" t="str">
        <f>'Бюд.р.'!A402</f>
        <v>Закупка товаров, работ и услуг  для государственных (муниципальных) нужд</v>
      </c>
      <c r="C87" s="1815" t="str">
        <f>C86</f>
        <v>05</v>
      </c>
      <c r="D87" s="1773" t="str">
        <f>D86</f>
        <v>03</v>
      </c>
      <c r="E87" s="1768" t="str">
        <f>E86</f>
        <v>600 03 02</v>
      </c>
      <c r="F87" s="1584">
        <f>'Бюд.р.'!F402</f>
        <v>200</v>
      </c>
      <c r="G87" s="1769">
        <v>296.9</v>
      </c>
      <c r="H87" s="3088"/>
      <c r="I87" s="3086">
        <f t="shared" si="8"/>
        <v>0</v>
      </c>
    </row>
    <row r="88" spans="1:9" ht="36" customHeight="1" hidden="1">
      <c r="A88" s="1800" t="s">
        <v>1181</v>
      </c>
      <c r="B88" s="1824" t="str">
        <f>'Бюд.р.'!A401</f>
        <v>ПРОВЕДЕНИЕ САНИТАРНЫХ РУБОК, УДАЛЕНИЕ АВАРИЙНЫХ, БОЛЬНЫХ ДЕРЕВЬЕВ И КУСТАРНИКОВ В ОТНОШЕНИИ ЗЕЛЕНЫХ НАСАЖДЕНИЙ ВНУТРИКВАРТАЛЬНОГО ОЗЕЛЕНЕНИЯ</v>
      </c>
      <c r="C88" s="1810" t="str">
        <f aca="true" t="shared" si="11" ref="C88:D91">C87</f>
        <v>05</v>
      </c>
      <c r="D88" s="1775" t="str">
        <f t="shared" si="11"/>
        <v>03</v>
      </c>
      <c r="E88" s="1784" t="str">
        <f>'Бюд.р.'!D408</f>
        <v>600 03 04</v>
      </c>
      <c r="F88" s="1839"/>
      <c r="G88" s="1792">
        <f>G89</f>
        <v>0</v>
      </c>
      <c r="H88" s="3088"/>
      <c r="I88" s="3086" t="e">
        <f t="shared" si="8"/>
        <v>#DIV/0!</v>
      </c>
    </row>
    <row r="89" spans="1:9" ht="14.25" customHeight="1" hidden="1">
      <c r="A89" s="1795" t="s">
        <v>1216</v>
      </c>
      <c r="B89" s="1821" t="str">
        <f>'Бюд.р.'!A409</f>
        <v>Закупка товаров, работ и услуг  для государственных (муниципальных) нужд</v>
      </c>
      <c r="C89" s="1812" t="str">
        <f t="shared" si="11"/>
        <v>05</v>
      </c>
      <c r="D89" s="1773" t="str">
        <f t="shared" si="11"/>
        <v>03</v>
      </c>
      <c r="E89" s="1768" t="str">
        <f>E88</f>
        <v>600 03 04</v>
      </c>
      <c r="F89" s="1584">
        <f>'Бюд.р.'!F409</f>
        <v>200</v>
      </c>
      <c r="G89" s="1769">
        <f>'Бюд.р.'!H409</f>
        <v>0</v>
      </c>
      <c r="H89" s="3088"/>
      <c r="I89" s="3086" t="e">
        <f t="shared" si="8"/>
        <v>#DIV/0!</v>
      </c>
    </row>
    <row r="90" spans="1:9" ht="24.75" customHeight="1" hidden="1">
      <c r="A90" s="1796" t="s">
        <v>1180</v>
      </c>
      <c r="B90" s="1820" t="str">
        <f>'Бюд.р.'!A413</f>
        <v>ОРГАНИЗАЦИЯ УЧЕТА ЗЕЛЕНЫХ НАСАЖДЕНИЙ ВНУТРИКВАРТАЛЬНОГО ОЗЕЛЕНЕНИЯ </v>
      </c>
      <c r="C90" s="1813" t="str">
        <f t="shared" si="11"/>
        <v>05</v>
      </c>
      <c r="D90" s="1775" t="str">
        <f t="shared" si="11"/>
        <v>03</v>
      </c>
      <c r="E90" s="1776" t="str">
        <f>'Бюд.р.'!D413</f>
        <v>600 03 05</v>
      </c>
      <c r="F90" s="1835"/>
      <c r="G90" s="1791">
        <f>G91</f>
        <v>150</v>
      </c>
      <c r="H90" s="3088"/>
      <c r="I90" s="3086">
        <f t="shared" si="8"/>
        <v>0</v>
      </c>
    </row>
    <row r="91" spans="1:9" ht="18" customHeight="1" hidden="1">
      <c r="A91" s="1795" t="s">
        <v>1215</v>
      </c>
      <c r="B91" s="1821" t="str">
        <f>'Бюд.р.'!A414</f>
        <v>Закупка товаров, работ и услуг  для государственных (муниципальных) нужд</v>
      </c>
      <c r="C91" s="1809" t="str">
        <f t="shared" si="11"/>
        <v>05</v>
      </c>
      <c r="D91" s="1773" t="str">
        <f t="shared" si="11"/>
        <v>03</v>
      </c>
      <c r="E91" s="1768" t="str">
        <f>E90</f>
        <v>600 03 05</v>
      </c>
      <c r="F91" s="1584">
        <f>'Бюд.р.'!F414</f>
        <v>200</v>
      </c>
      <c r="G91" s="1769">
        <v>150</v>
      </c>
      <c r="H91" s="3088"/>
      <c r="I91" s="3086">
        <f t="shared" si="8"/>
        <v>0</v>
      </c>
    </row>
    <row r="92" spans="1:9" ht="22.5" hidden="1">
      <c r="A92" s="1796" t="s">
        <v>1181</v>
      </c>
      <c r="B92" s="1834" t="str">
        <f>'Бюд.р.'!A419</f>
        <v>СОЗДАНИЕ ЗОН ОТДЫХА, В ТОМ ЧИСЛЕ ОБУСТРОЙСТВО, СОДЕРЖАНИЕ И УБОРКА ТЕРРИТОРИЙ ДЕТСКИХ ПЛОЩАДОК</v>
      </c>
      <c r="C92" s="1814" t="s">
        <v>1173</v>
      </c>
      <c r="D92" s="1775" t="s">
        <v>1168</v>
      </c>
      <c r="E92" s="1776" t="str">
        <f>'Бюд.р.'!D419</f>
        <v>600 04 01</v>
      </c>
      <c r="F92" s="1835"/>
      <c r="G92" s="1791">
        <f>G93</f>
        <v>4108.8</v>
      </c>
      <c r="H92" s="3088"/>
      <c r="I92" s="3086">
        <f t="shared" si="8"/>
        <v>0</v>
      </c>
    </row>
    <row r="93" spans="1:9" ht="17.25" customHeight="1" hidden="1">
      <c r="A93" s="1795" t="s">
        <v>1216</v>
      </c>
      <c r="B93" s="1826" t="str">
        <f>'Бюд.р.'!A420</f>
        <v>Закупка товаров, работ и услуг  для государственных (муниципальных) нужд</v>
      </c>
      <c r="C93" s="1815" t="str">
        <f>C92</f>
        <v>05</v>
      </c>
      <c r="D93" s="1773" t="str">
        <f>D92</f>
        <v>03</v>
      </c>
      <c r="E93" s="1768" t="str">
        <f>E92</f>
        <v>600 04 01</v>
      </c>
      <c r="F93" s="1584">
        <f>'Бюд.р.'!F420</f>
        <v>200</v>
      </c>
      <c r="G93" s="1769">
        <v>4108.8</v>
      </c>
      <c r="H93" s="3088"/>
      <c r="I93" s="3086">
        <f t="shared" si="8"/>
        <v>0</v>
      </c>
    </row>
    <row r="94" spans="1:9" ht="24.75" customHeight="1" hidden="1">
      <c r="A94" s="1796" t="s">
        <v>1182</v>
      </c>
      <c r="B94" s="1834" t="str">
        <f>'Бюд.р.'!A427</f>
        <v>ОБУСТРОЙСТВО, СОДЕРЖАНИЕ И УБОРКА ТЕРРИТОРИЙ СПОРТИВНЫХ ПЛОЩАДОК</v>
      </c>
      <c r="C94" s="1810" t="str">
        <f aca="true" t="shared" si="12" ref="C94:D97">C93</f>
        <v>05</v>
      </c>
      <c r="D94" s="1775" t="str">
        <f t="shared" si="12"/>
        <v>03</v>
      </c>
      <c r="E94" s="1776" t="str">
        <f>'Бюд.р.'!D427</f>
        <v>600 04 02</v>
      </c>
      <c r="F94" s="1835"/>
      <c r="G94" s="1791">
        <f>G95</f>
        <v>1134.8</v>
      </c>
      <c r="H94" s="3088"/>
      <c r="I94" s="3086">
        <f t="shared" si="8"/>
        <v>0</v>
      </c>
    </row>
    <row r="95" spans="1:9" ht="18" customHeight="1" hidden="1">
      <c r="A95" s="1795" t="s">
        <v>1217</v>
      </c>
      <c r="B95" s="1826" t="str">
        <f>'Бюд.р.'!A428</f>
        <v>Закупка товаров, работ и услуг  для государственных (муниципальных) нужд</v>
      </c>
      <c r="C95" s="1812" t="str">
        <f t="shared" si="12"/>
        <v>05</v>
      </c>
      <c r="D95" s="1773" t="str">
        <f t="shared" si="12"/>
        <v>03</v>
      </c>
      <c r="E95" s="1768" t="str">
        <f>E94</f>
        <v>600 04 02</v>
      </c>
      <c r="F95" s="1584">
        <f>'Бюд.р.'!F428</f>
        <v>200</v>
      </c>
      <c r="G95" s="1769">
        <v>1134.8</v>
      </c>
      <c r="H95" s="3088"/>
      <c r="I95" s="3086">
        <f t="shared" si="8"/>
        <v>0</v>
      </c>
    </row>
    <row r="96" spans="1:9" ht="26.25" customHeight="1" hidden="1">
      <c r="A96" s="1796" t="s">
        <v>1402</v>
      </c>
      <c r="B96" s="1834" t="str">
        <f>'Бюд.р.'!A432</f>
        <v>ВЫПОЛНЕНИЕ ОФОРМЛЕНИЯ К ПРАЗДНИЧНЫМ МЕРОПРИЯТИЯМ НА ТЕРРИТОРИИ МУНИЦИПАЛЬНОГО ОБРАЗОВАНИЯ</v>
      </c>
      <c r="C96" s="1810" t="str">
        <f t="shared" si="12"/>
        <v>05</v>
      </c>
      <c r="D96" s="1775" t="str">
        <f t="shared" si="12"/>
        <v>03</v>
      </c>
      <c r="E96" s="1776" t="str">
        <f>E97</f>
        <v>600 04 03</v>
      </c>
      <c r="F96" s="1835"/>
      <c r="G96" s="1791">
        <f>G97</f>
        <v>800</v>
      </c>
      <c r="H96" s="3088"/>
      <c r="I96" s="3086">
        <f t="shared" si="8"/>
        <v>0</v>
      </c>
    </row>
    <row r="97" spans="1:9" ht="18" customHeight="1" hidden="1">
      <c r="A97" s="1795" t="s">
        <v>1404</v>
      </c>
      <c r="B97" s="1826" t="str">
        <f>'Бюд.р.'!A428</f>
        <v>Закупка товаров, работ и услуг  для государственных (муниципальных) нужд</v>
      </c>
      <c r="C97" s="1812" t="str">
        <f t="shared" si="12"/>
        <v>05</v>
      </c>
      <c r="D97" s="1773" t="str">
        <f t="shared" si="12"/>
        <v>03</v>
      </c>
      <c r="E97" s="1768" t="str">
        <f>'Бюд.р.'!D433</f>
        <v>600 04 03</v>
      </c>
      <c r="F97" s="1584">
        <f>'Бюд.р.'!F433</f>
        <v>200</v>
      </c>
      <c r="G97" s="1769">
        <v>800</v>
      </c>
      <c r="H97" s="3088"/>
      <c r="I97" s="3086">
        <f t="shared" si="8"/>
        <v>0</v>
      </c>
    </row>
    <row r="98" spans="1:9" ht="17.25" customHeight="1">
      <c r="A98" s="1794">
        <v>5</v>
      </c>
      <c r="B98" s="2462" t="str">
        <f>'Бюд.р.'!A443</f>
        <v>ОБРАЗОВАНИЕ</v>
      </c>
      <c r="C98" s="1808" t="s">
        <v>1171</v>
      </c>
      <c r="D98" s="1781"/>
      <c r="E98" s="1611"/>
      <c r="F98" s="1667"/>
      <c r="G98" s="2295">
        <f>G99+G104+G115</f>
        <v>4007.5000000000005</v>
      </c>
      <c r="H98" s="2295">
        <f>H99+H104+H115</f>
        <v>4007.5</v>
      </c>
      <c r="I98" s="3095">
        <f t="shared" si="8"/>
        <v>100</v>
      </c>
    </row>
    <row r="99" spans="1:9" ht="27" customHeight="1">
      <c r="A99" s="3045" t="s">
        <v>672</v>
      </c>
      <c r="B99" s="3067" t="str">
        <f>'Бюд.р.'!A444</f>
        <v>Профессиональная подготовка, переподготовка и повышение квалификации
</v>
      </c>
      <c r="C99" s="3047" t="s">
        <v>1171</v>
      </c>
      <c r="D99" s="2297" t="s">
        <v>1173</v>
      </c>
      <c r="E99" s="1515"/>
      <c r="F99" s="1596"/>
      <c r="G99" s="2395">
        <f>G100+G102</f>
        <v>164.4</v>
      </c>
      <c r="H99" s="3088">
        <v>164.4</v>
      </c>
      <c r="I99" s="3086">
        <f t="shared" si="8"/>
        <v>100</v>
      </c>
    </row>
    <row r="100" spans="1:9" ht="33.75" hidden="1">
      <c r="A100" s="1799" t="s">
        <v>89</v>
      </c>
      <c r="B100" s="1832" t="str">
        <f>'Бюд.р.'!A447</f>
        <v>Расходы на организацию профессионального образования и дополнительного профессионального образования для выборных должностных лиц местного самоуправления </v>
      </c>
      <c r="C100" s="1813" t="str">
        <f>C99</f>
        <v>07</v>
      </c>
      <c r="D100" s="1783" t="str">
        <f>D99</f>
        <v>05</v>
      </c>
      <c r="E100" s="1784" t="str">
        <f>'Бюд.р.'!D447</f>
        <v>428 01 01</v>
      </c>
      <c r="F100" s="1839"/>
      <c r="G100" s="1792">
        <f>G101</f>
        <v>0</v>
      </c>
      <c r="H100" s="3088"/>
      <c r="I100" s="3086" t="e">
        <f t="shared" si="8"/>
        <v>#DIV/0!</v>
      </c>
    </row>
    <row r="101" spans="1:9" ht="15" customHeight="1" hidden="1">
      <c r="A101" s="3058" t="s">
        <v>1218</v>
      </c>
      <c r="B101" s="1826" t="str">
        <f>'Бюд.р.'!A448</f>
        <v>Закупка товаров, работ и услуг  для государственных (муниципальных) нужд</v>
      </c>
      <c r="C101" s="1812" t="s">
        <v>1171</v>
      </c>
      <c r="D101" s="1774" t="s">
        <v>1173</v>
      </c>
      <c r="E101" s="1585" t="str">
        <f>'Бюд.р.'!D448</f>
        <v>428 01 01</v>
      </c>
      <c r="F101" s="1586">
        <f>'Бюд.р.'!F448</f>
        <v>200</v>
      </c>
      <c r="G101" s="1771">
        <f>'Бюд.р.'!H448</f>
        <v>0</v>
      </c>
      <c r="H101" s="3088"/>
      <c r="I101" s="3086" t="e">
        <f t="shared" si="8"/>
        <v>#DIV/0!</v>
      </c>
    </row>
    <row r="102" spans="1:9" ht="25.5" customHeight="1" hidden="1">
      <c r="A102" s="1799" t="s">
        <v>89</v>
      </c>
      <c r="B102" s="2463" t="str">
        <f>'Бюд.р.'!A452</f>
        <v>Расходы на организацию профессионального образования и дополнительного профессионального образования для  муниципальных служащих  </v>
      </c>
      <c r="C102" s="1813" t="str">
        <f>C101</f>
        <v>07</v>
      </c>
      <c r="D102" s="1783" t="str">
        <f>D101</f>
        <v>05</v>
      </c>
      <c r="E102" s="1784" t="str">
        <f>'Бюд.р.'!D452</f>
        <v>428 01 02</v>
      </c>
      <c r="F102" s="1839"/>
      <c r="G102" s="1792">
        <f>G103</f>
        <v>164.4</v>
      </c>
      <c r="H102" s="3088"/>
      <c r="I102" s="3086">
        <f t="shared" si="8"/>
        <v>0</v>
      </c>
    </row>
    <row r="103" spans="1:9" ht="15" customHeight="1" hidden="1">
      <c r="A103" s="3058" t="s">
        <v>1218</v>
      </c>
      <c r="B103" s="1846" t="str">
        <f>'Бюд.р.'!A453</f>
        <v>Закупка товаров, работ и услуг  для государственных (муниципальных) нужд</v>
      </c>
      <c r="C103" s="1812" t="str">
        <f aca="true" t="shared" si="13" ref="C103:C114">C102</f>
        <v>07</v>
      </c>
      <c r="D103" s="1774" t="str">
        <f aca="true" t="shared" si="14" ref="D103:D114">D102</f>
        <v>05</v>
      </c>
      <c r="E103" s="1585" t="str">
        <f>E102</f>
        <v>428 01 02</v>
      </c>
      <c r="F103" s="1586">
        <f>'Бюд.р.'!F453</f>
        <v>200</v>
      </c>
      <c r="G103" s="1771">
        <v>164.4</v>
      </c>
      <c r="H103" s="3088"/>
      <c r="I103" s="3086">
        <f t="shared" si="8"/>
        <v>0</v>
      </c>
    </row>
    <row r="104" spans="1:9" ht="18.75" customHeight="1">
      <c r="A104" s="3045" t="s">
        <v>1188</v>
      </c>
      <c r="B104" s="3065" t="str">
        <f>'Бюд.р.'!A457</f>
        <v>Молодежная политика и оздоровление детей</v>
      </c>
      <c r="C104" s="3047" t="str">
        <f t="shared" si="13"/>
        <v>07</v>
      </c>
      <c r="D104" s="2297" t="s">
        <v>1171</v>
      </c>
      <c r="E104" s="3066"/>
      <c r="F104" s="1615"/>
      <c r="G104" s="2395">
        <f>G105+G107+G109+G111+G113</f>
        <v>3725.1000000000004</v>
      </c>
      <c r="H104" s="3088">
        <v>3725.1</v>
      </c>
      <c r="I104" s="3086">
        <f t="shared" si="8"/>
        <v>99.99999999999999</v>
      </c>
    </row>
    <row r="105" spans="1:9" ht="27" customHeight="1" hidden="1">
      <c r="A105" s="1803" t="s">
        <v>473</v>
      </c>
      <c r="B105" s="2463" t="str">
        <f>'Бюд.р.'!A458</f>
        <v>Ведомственная целевая программа по участию в реализации мер по профилактике дорожно-транспортного травматизма на территории МО </v>
      </c>
      <c r="C105" s="1810" t="str">
        <f>C102</f>
        <v>07</v>
      </c>
      <c r="D105" s="1775" t="str">
        <f>D102</f>
        <v>05</v>
      </c>
      <c r="E105" s="1784" t="str">
        <f>'Бюд.р.'!D462</f>
        <v>795 01 00</v>
      </c>
      <c r="F105" s="1841"/>
      <c r="G105" s="1791">
        <f>G106</f>
        <v>784.5</v>
      </c>
      <c r="H105" s="3088"/>
      <c r="I105" s="3086">
        <f t="shared" si="8"/>
        <v>0</v>
      </c>
    </row>
    <row r="106" spans="1:9" ht="13.5" customHeight="1" hidden="1">
      <c r="A106" s="1795" t="s">
        <v>1219</v>
      </c>
      <c r="B106" s="1831" t="str">
        <f>'Бюд.р.'!A459</f>
        <v>Закупка товаров, работ и услуг  для государственных (муниципальных) нужд</v>
      </c>
      <c r="C106" s="1809" t="str">
        <f t="shared" si="13"/>
        <v>07</v>
      </c>
      <c r="D106" s="1773" t="str">
        <f t="shared" si="14"/>
        <v>05</v>
      </c>
      <c r="E106" s="1768" t="str">
        <f>E105</f>
        <v>795 01 00</v>
      </c>
      <c r="F106" s="1584">
        <f>'Бюд.р.'!F459</f>
        <v>200</v>
      </c>
      <c r="G106" s="1769">
        <v>784.5</v>
      </c>
      <c r="H106" s="3088"/>
      <c r="I106" s="3086">
        <f t="shared" si="8"/>
        <v>0</v>
      </c>
    </row>
    <row r="107" spans="1:9" ht="34.5" customHeight="1" hidden="1">
      <c r="A107" s="1803" t="s">
        <v>473</v>
      </c>
      <c r="B107" s="1832" t="str">
        <f>Пцс!B51</f>
        <v>Ведомственная 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 </v>
      </c>
      <c r="C107" s="1810" t="str">
        <f>C104</f>
        <v>07</v>
      </c>
      <c r="D107" s="1775" t="str">
        <f>D104</f>
        <v>07</v>
      </c>
      <c r="E107" s="1784" t="str">
        <f>Пцс!C51</f>
        <v>795 04 00</v>
      </c>
      <c r="F107" s="1841"/>
      <c r="G107" s="1791">
        <f>G108</f>
        <v>140.6</v>
      </c>
      <c r="H107" s="3088"/>
      <c r="I107" s="3086">
        <f t="shared" si="8"/>
        <v>0</v>
      </c>
    </row>
    <row r="108" spans="1:9" ht="13.5" customHeight="1" hidden="1">
      <c r="A108" s="1795" t="s">
        <v>1219</v>
      </c>
      <c r="B108" s="1831" t="str">
        <f>'Бюд.р.'!A465</f>
        <v>Закупка товаров, работ и услуг  для государственных (муниципальных) нужд</v>
      </c>
      <c r="C108" s="1809" t="str">
        <f t="shared" si="13"/>
        <v>07</v>
      </c>
      <c r="D108" s="1773" t="str">
        <f t="shared" si="14"/>
        <v>07</v>
      </c>
      <c r="E108" s="1768" t="str">
        <f>E107</f>
        <v>795 04 00</v>
      </c>
      <c r="F108" s="1584">
        <f>'Бюд.р.'!F465</f>
        <v>200</v>
      </c>
      <c r="G108" s="1769">
        <v>140.6</v>
      </c>
      <c r="H108" s="3088"/>
      <c r="I108" s="3086">
        <f t="shared" si="8"/>
        <v>0</v>
      </c>
    </row>
    <row r="109" spans="1:9" ht="24" customHeight="1" hidden="1">
      <c r="A109" s="1803" t="s">
        <v>473</v>
      </c>
      <c r="B109" s="2463" t="str">
        <f>'Бюд.р.'!A469</f>
        <v>Ведомственная целевая программа по военно-патриотическому воспитанию граждан муниципального образования</v>
      </c>
      <c r="C109" s="1810" t="str">
        <f>C104</f>
        <v>07</v>
      </c>
      <c r="D109" s="1775" t="str">
        <f>D104</f>
        <v>07</v>
      </c>
      <c r="E109" s="1784" t="str">
        <f>'Бюд.р.'!D469</f>
        <v>795 08 00</v>
      </c>
      <c r="F109" s="1841"/>
      <c r="G109" s="1791">
        <f>G110</f>
        <v>1103.7</v>
      </c>
      <c r="H109" s="3088"/>
      <c r="I109" s="3086">
        <f t="shared" si="8"/>
        <v>0</v>
      </c>
    </row>
    <row r="110" spans="1:9" ht="13.5" customHeight="1" hidden="1">
      <c r="A110" s="1795" t="s">
        <v>1219</v>
      </c>
      <c r="B110" s="1831" t="str">
        <f>'Бюд.р.'!A478</f>
        <v>Закупка товаров, работ и услуг  для государственных (муниципальных) нужд</v>
      </c>
      <c r="C110" s="1809" t="str">
        <f t="shared" si="13"/>
        <v>07</v>
      </c>
      <c r="D110" s="1773" t="str">
        <f t="shared" si="14"/>
        <v>07</v>
      </c>
      <c r="E110" s="1768" t="str">
        <f>E109</f>
        <v>795 08 00</v>
      </c>
      <c r="F110" s="1584">
        <f>'Бюд.р.'!F478</f>
        <v>200</v>
      </c>
      <c r="G110" s="1769">
        <v>1103.7</v>
      </c>
      <c r="H110" s="3088"/>
      <c r="I110" s="3086">
        <f t="shared" si="8"/>
        <v>0</v>
      </c>
    </row>
    <row r="111" spans="1:9" ht="22.5" customHeight="1" hidden="1">
      <c r="A111" s="1796" t="s">
        <v>1189</v>
      </c>
      <c r="B111" s="1834" t="str">
        <f>'Бюд.р.'!A477</f>
        <v>Ведомственная целевая программа по организации и проведению досуговых мероприятий для жителей МО МО Озеро Долгое </v>
      </c>
      <c r="C111" s="1810" t="str">
        <f t="shared" si="13"/>
        <v>07</v>
      </c>
      <c r="D111" s="1775" t="str">
        <f t="shared" si="14"/>
        <v>07</v>
      </c>
      <c r="E111" s="1776" t="str">
        <f>'Бюд.р.'!D477</f>
        <v>795 06 00</v>
      </c>
      <c r="F111" s="1835"/>
      <c r="G111" s="1791">
        <f>G112</f>
        <v>1610.9</v>
      </c>
      <c r="H111" s="3088"/>
      <c r="I111" s="3086">
        <f t="shared" si="8"/>
        <v>0</v>
      </c>
    </row>
    <row r="112" spans="1:9" ht="15" customHeight="1" hidden="1">
      <c r="A112" s="1795" t="s">
        <v>1220</v>
      </c>
      <c r="B112" s="1844" t="str">
        <f>'Бюд.р.'!A478</f>
        <v>Закупка товаров, работ и услуг  для государственных (муниципальных) нужд</v>
      </c>
      <c r="C112" s="1809" t="str">
        <f t="shared" si="13"/>
        <v>07</v>
      </c>
      <c r="D112" s="1773" t="str">
        <f t="shared" si="14"/>
        <v>07</v>
      </c>
      <c r="E112" s="1770" t="str">
        <f>E111</f>
        <v>795 06 00</v>
      </c>
      <c r="F112" s="1840">
        <f>'Бюд.р.'!F478</f>
        <v>200</v>
      </c>
      <c r="G112" s="1769">
        <v>1610.9</v>
      </c>
      <c r="H112" s="3088"/>
      <c r="I112" s="3086">
        <f t="shared" si="8"/>
        <v>0</v>
      </c>
    </row>
    <row r="113" spans="1:9" ht="36" customHeight="1" hidden="1">
      <c r="A113" s="1796" t="s">
        <v>1189</v>
      </c>
      <c r="B113" s="1820" t="str">
        <f>'Бюд.р.'!A486</f>
        <v>Ведомственная целевая программа   по участию в профилактике  терроризма и экстремизма, а также  минимизации и (или) ликвидации последствий проявления терроризма и экстремизма на территории МО </v>
      </c>
      <c r="C113" s="1810" t="str">
        <f t="shared" si="13"/>
        <v>07</v>
      </c>
      <c r="D113" s="1775" t="str">
        <f t="shared" si="14"/>
        <v>07</v>
      </c>
      <c r="E113" s="1776" t="str">
        <f>E114</f>
        <v>795 05 00</v>
      </c>
      <c r="F113" s="1835"/>
      <c r="G113" s="1791">
        <f>G114</f>
        <v>85.4</v>
      </c>
      <c r="H113" s="3088"/>
      <c r="I113" s="3086">
        <f t="shared" si="8"/>
        <v>0</v>
      </c>
    </row>
    <row r="114" spans="1:9" ht="13.5" customHeight="1" hidden="1">
      <c r="A114" s="1795" t="s">
        <v>1220</v>
      </c>
      <c r="B114" s="1844" t="str">
        <f>'Бюд.р.'!A487</f>
        <v>Закупка товаров, работ и услуг  для государственных (муниципальных) нужд</v>
      </c>
      <c r="C114" s="1809" t="str">
        <f t="shared" si="13"/>
        <v>07</v>
      </c>
      <c r="D114" s="1773" t="str">
        <f t="shared" si="14"/>
        <v>07</v>
      </c>
      <c r="E114" s="1770" t="str">
        <f>'Бюд.р.'!D487</f>
        <v>795 05 00</v>
      </c>
      <c r="F114" s="1840">
        <f>'Бюд.р.'!F487</f>
        <v>200</v>
      </c>
      <c r="G114" s="1769">
        <v>85.4</v>
      </c>
      <c r="H114" s="3088"/>
      <c r="I114" s="3086">
        <f t="shared" si="8"/>
        <v>0</v>
      </c>
    </row>
    <row r="115" spans="1:9" ht="18.75" customHeight="1">
      <c r="A115" s="3068" t="s">
        <v>16</v>
      </c>
      <c r="B115" s="3065" t="str">
        <f>'Бюд.р.'!A493</f>
        <v>Другие вопросы в области образования</v>
      </c>
      <c r="C115" s="3047" t="s">
        <v>1171</v>
      </c>
      <c r="D115" s="2297" t="s">
        <v>1172</v>
      </c>
      <c r="E115" s="1515"/>
      <c r="F115" s="1596"/>
      <c r="G115" s="2395">
        <f>G116+G118</f>
        <v>118</v>
      </c>
      <c r="H115" s="3088">
        <v>118</v>
      </c>
      <c r="I115" s="3086">
        <f t="shared" si="8"/>
        <v>100</v>
      </c>
    </row>
    <row r="116" spans="1:9" ht="29.25" customHeight="1" hidden="1">
      <c r="A116" s="1805" t="s">
        <v>17</v>
      </c>
      <c r="B116" s="1820" t="str">
        <f>'Бюд.р.'!A494</f>
        <v>Ведомственная целевая программа по участию в реализации мер по профилактике дорожно-транспортного травматизма на территории МО </v>
      </c>
      <c r="C116" s="1810" t="str">
        <f aca="true" t="shared" si="15" ref="C116:D119">C115</f>
        <v>07</v>
      </c>
      <c r="D116" s="1775" t="str">
        <f t="shared" si="15"/>
        <v>09</v>
      </c>
      <c r="E116" s="1776" t="str">
        <f>'Бюд.р.'!D494</f>
        <v>795 01 00</v>
      </c>
      <c r="F116" s="1841"/>
      <c r="G116" s="1791">
        <f>G117</f>
        <v>35</v>
      </c>
      <c r="H116" s="3088"/>
      <c r="I116" s="3086">
        <f t="shared" si="8"/>
        <v>0</v>
      </c>
    </row>
    <row r="117" spans="1:9" ht="12" customHeight="1" hidden="1">
      <c r="A117" s="1795" t="s">
        <v>1221</v>
      </c>
      <c r="B117" s="1844" t="str">
        <f>'Бюд.р.'!A495</f>
        <v>Закупка товаров, работ и услуг  для государственных (муниципальных) нужд</v>
      </c>
      <c r="C117" s="1809" t="str">
        <f t="shared" si="15"/>
        <v>07</v>
      </c>
      <c r="D117" s="1773" t="str">
        <f t="shared" si="15"/>
        <v>09</v>
      </c>
      <c r="E117" s="1768" t="str">
        <f>E116</f>
        <v>795 01 00</v>
      </c>
      <c r="F117" s="1584">
        <f>'Бюд.р.'!F495</f>
        <v>200</v>
      </c>
      <c r="G117" s="1769">
        <v>35</v>
      </c>
      <c r="H117" s="3088"/>
      <c r="I117" s="3086">
        <f t="shared" si="8"/>
        <v>0</v>
      </c>
    </row>
    <row r="118" spans="1:9" ht="39" customHeight="1" hidden="1">
      <c r="A118" s="1803" t="s">
        <v>1190</v>
      </c>
      <c r="B118" s="1824" t="str">
        <f>'Бюд.р.'!A503</f>
        <v>Ведомственная 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 </v>
      </c>
      <c r="C118" s="1810" t="str">
        <f t="shared" si="15"/>
        <v>07</v>
      </c>
      <c r="D118" s="1775" t="str">
        <f t="shared" si="15"/>
        <v>09</v>
      </c>
      <c r="E118" s="1776" t="str">
        <f>'Бюд.р.'!D503</f>
        <v>795 04 00</v>
      </c>
      <c r="F118" s="1835"/>
      <c r="G118" s="1791">
        <f>G119</f>
        <v>83</v>
      </c>
      <c r="H118" s="3088"/>
      <c r="I118" s="3086">
        <f t="shared" si="8"/>
        <v>0</v>
      </c>
    </row>
    <row r="119" spans="1:9" ht="15" customHeight="1" hidden="1">
      <c r="A119" s="1795" t="s">
        <v>1222</v>
      </c>
      <c r="B119" s="1821" t="str">
        <f>'Бюд.р.'!A504</f>
        <v>Закупка товаров, работ и услуг  для государственных (муниципальных) нужд</v>
      </c>
      <c r="C119" s="1809" t="str">
        <f t="shared" si="15"/>
        <v>07</v>
      </c>
      <c r="D119" s="1773" t="str">
        <f t="shared" si="15"/>
        <v>09</v>
      </c>
      <c r="E119" s="1768" t="str">
        <f>E118</f>
        <v>795 04 00</v>
      </c>
      <c r="F119" s="1584">
        <f>'Бюд.р.'!F504</f>
        <v>200</v>
      </c>
      <c r="G119" s="1769">
        <v>83</v>
      </c>
      <c r="H119" s="3088"/>
      <c r="I119" s="3086">
        <f t="shared" si="8"/>
        <v>0</v>
      </c>
    </row>
    <row r="120" spans="1:9" ht="15.75" customHeight="1">
      <c r="A120" s="1804" t="s">
        <v>296</v>
      </c>
      <c r="B120" s="1828" t="str">
        <f>'Бюд.р.'!A509</f>
        <v>КУЛЬТУРА, КИНЕМАТОГРАФИЯ </v>
      </c>
      <c r="C120" s="1808" t="s">
        <v>1191</v>
      </c>
      <c r="D120" s="1781"/>
      <c r="E120" s="1611"/>
      <c r="F120" s="1667"/>
      <c r="G120" s="2295">
        <f>G121+G124</f>
        <v>10849.9</v>
      </c>
      <c r="H120" s="2295">
        <f>H121+H124</f>
        <v>10849.9</v>
      </c>
      <c r="I120" s="3095">
        <f t="shared" si="8"/>
        <v>100</v>
      </c>
    </row>
    <row r="121" spans="1:9" ht="14.25" customHeight="1">
      <c r="A121" s="3068" t="s">
        <v>673</v>
      </c>
      <c r="B121" s="3069" t="str">
        <f>'Бюд.р.'!A510</f>
        <v>Культура</v>
      </c>
      <c r="C121" s="3047" t="s">
        <v>1191</v>
      </c>
      <c r="D121" s="2297" t="s">
        <v>1166</v>
      </c>
      <c r="E121" s="1515"/>
      <c r="F121" s="1596"/>
      <c r="G121" s="2395">
        <f>G122</f>
        <v>9164.9</v>
      </c>
      <c r="H121" s="3088">
        <v>9164.9</v>
      </c>
      <c r="I121" s="3086">
        <f t="shared" si="8"/>
        <v>100</v>
      </c>
    </row>
    <row r="122" spans="1:9" ht="49.5" customHeight="1" hidden="1">
      <c r="A122" s="1854" t="s">
        <v>90</v>
      </c>
      <c r="B122" s="1824" t="str">
        <f>'Бюд.р.'!A511</f>
        <v>Ведомственная целевая программа по организации и проведению местных и участию в организации и проведении городских праздничных и иных зрелищных мероприятий, а также мероприятий по сохранению и развитию местных традиций и обрядов </v>
      </c>
      <c r="C122" s="1813" t="str">
        <f>C121</f>
        <v>08</v>
      </c>
      <c r="D122" s="1783" t="str">
        <f>D121</f>
        <v>01</v>
      </c>
      <c r="E122" s="1784" t="str">
        <f>'Бюд.р.'!D511</f>
        <v>795 09 00</v>
      </c>
      <c r="F122" s="1839"/>
      <c r="G122" s="1792">
        <f>G123</f>
        <v>9164.9</v>
      </c>
      <c r="H122" s="3088"/>
      <c r="I122" s="3086">
        <f t="shared" si="8"/>
        <v>0</v>
      </c>
    </row>
    <row r="123" spans="1:9" ht="22.5" hidden="1">
      <c r="A123" s="3070" t="s">
        <v>137</v>
      </c>
      <c r="B123" s="3056" t="str">
        <f>'Бюд.р.'!A512</f>
        <v>Закупка товаров, работ и услуг  для государственных (муниципальных) нужд</v>
      </c>
      <c r="C123" s="1812" t="s">
        <v>1191</v>
      </c>
      <c r="D123" s="1774" t="s">
        <v>1166</v>
      </c>
      <c r="E123" s="1585" t="str">
        <f>E122</f>
        <v>795 09 00</v>
      </c>
      <c r="F123" s="1586">
        <f>'Бюд.р.'!F512</f>
        <v>200</v>
      </c>
      <c r="G123" s="1771">
        <v>9164.9</v>
      </c>
      <c r="H123" s="3088"/>
      <c r="I123" s="3086">
        <f t="shared" si="8"/>
        <v>0</v>
      </c>
    </row>
    <row r="124" spans="1:9" ht="18.75" customHeight="1">
      <c r="A124" s="3068" t="s">
        <v>738</v>
      </c>
      <c r="B124" s="3071" t="str">
        <f>'Бюд.р.'!A519</f>
        <v>Другие вопросы в области культуры, кинематографии</v>
      </c>
      <c r="C124" s="3047" t="s">
        <v>1191</v>
      </c>
      <c r="D124" s="2297" t="s">
        <v>1169</v>
      </c>
      <c r="E124" s="1515"/>
      <c r="F124" s="1596"/>
      <c r="G124" s="2395">
        <f>G125+G127</f>
        <v>1685</v>
      </c>
      <c r="H124" s="3088">
        <v>1685</v>
      </c>
      <c r="I124" s="3086">
        <f t="shared" si="8"/>
        <v>99.99999999999999</v>
      </c>
    </row>
    <row r="125" spans="1:9" ht="28.5" customHeight="1" hidden="1">
      <c r="A125" s="1796" t="s">
        <v>10</v>
      </c>
      <c r="B125" s="1827" t="str">
        <f>'Бюд.р.'!A520</f>
        <v>Ведомственная целевая программа по организации и проведению досуговых мероприятий для жителей МО МО Озеро Долгое </v>
      </c>
      <c r="C125" s="1810" t="s">
        <v>1191</v>
      </c>
      <c r="D125" s="1775" t="s">
        <v>1169</v>
      </c>
      <c r="E125" s="1776" t="str">
        <f>'Бюд.р.'!D520</f>
        <v>795 06 00</v>
      </c>
      <c r="F125" s="1835"/>
      <c r="G125" s="1791">
        <f>G126</f>
        <v>1511</v>
      </c>
      <c r="H125" s="3088"/>
      <c r="I125" s="3086">
        <f t="shared" si="8"/>
        <v>0</v>
      </c>
    </row>
    <row r="126" spans="1:9" ht="14.25" customHeight="1" hidden="1">
      <c r="A126" s="1807" t="s">
        <v>1223</v>
      </c>
      <c r="B126" s="1826" t="str">
        <f>'Бюд.р.'!A521</f>
        <v>Закупка товаров, работ и услуг  для государственных (муниципальных) нужд</v>
      </c>
      <c r="C126" s="1809" t="str">
        <f>C125</f>
        <v>08</v>
      </c>
      <c r="D126" s="1773" t="s">
        <v>1169</v>
      </c>
      <c r="E126" s="1768" t="str">
        <f>E125</f>
        <v>795 06 00</v>
      </c>
      <c r="F126" s="1584">
        <f>'Бюд.р.'!F521</f>
        <v>200</v>
      </c>
      <c r="G126" s="1769">
        <v>1511</v>
      </c>
      <c r="H126" s="3088"/>
      <c r="I126" s="3086">
        <f t="shared" si="8"/>
        <v>0</v>
      </c>
    </row>
    <row r="127" spans="1:9" ht="26.25" customHeight="1" hidden="1">
      <c r="A127" s="1796" t="s">
        <v>10</v>
      </c>
      <c r="B127" s="1827" t="str">
        <f>'Бюд.р.'!A526</f>
        <v>Ведомственная целевая программа по военно-патриотическому воспитанию граждан муниципального образования</v>
      </c>
      <c r="C127" s="1810" t="s">
        <v>1191</v>
      </c>
      <c r="D127" s="1775" t="s">
        <v>1169</v>
      </c>
      <c r="E127" s="1776" t="str">
        <f>E128</f>
        <v>795 08 00</v>
      </c>
      <c r="F127" s="1835"/>
      <c r="G127" s="1791">
        <f>G128</f>
        <v>174</v>
      </c>
      <c r="H127" s="3088"/>
      <c r="I127" s="3086">
        <f t="shared" si="8"/>
        <v>0</v>
      </c>
    </row>
    <row r="128" spans="1:9" ht="17.25" customHeight="1" hidden="1">
      <c r="A128" s="1807" t="s">
        <v>1223</v>
      </c>
      <c r="B128" s="1826" t="str">
        <f>'Бюд.р.'!A527</f>
        <v>Закупка товаров, работ и услуг  для государственных (муниципальных) нужд</v>
      </c>
      <c r="C128" s="1809" t="str">
        <f>C127</f>
        <v>08</v>
      </c>
      <c r="D128" s="1773" t="s">
        <v>1169</v>
      </c>
      <c r="E128" s="1768" t="str">
        <f>'Бюд.р.'!D527</f>
        <v>795 08 00</v>
      </c>
      <c r="F128" s="1584">
        <f>'Бюд.р.'!F527</f>
        <v>200</v>
      </c>
      <c r="G128" s="1769">
        <v>174</v>
      </c>
      <c r="H128" s="3088"/>
      <c r="I128" s="3086">
        <f t="shared" si="8"/>
        <v>0</v>
      </c>
    </row>
    <row r="129" spans="1:9" ht="16.5" customHeight="1">
      <c r="A129" s="1804" t="s">
        <v>297</v>
      </c>
      <c r="B129" s="1828" t="str">
        <f>'Бюд.р.'!A531</f>
        <v>СОЦИАЛЬНАЯ ПОЛИТИКА</v>
      </c>
      <c r="C129" s="1808" t="s">
        <v>372</v>
      </c>
      <c r="D129" s="1781"/>
      <c r="E129" s="1611"/>
      <c r="F129" s="1667"/>
      <c r="G129" s="2295">
        <f>G130+G133</f>
        <v>16354.6</v>
      </c>
      <c r="H129" s="2295">
        <f>H130+H133</f>
        <v>16081</v>
      </c>
      <c r="I129" s="3095">
        <f t="shared" si="8"/>
        <v>98.32707617428736</v>
      </c>
    </row>
    <row r="130" spans="1:9" ht="17.25" customHeight="1">
      <c r="A130" s="3068" t="s">
        <v>98</v>
      </c>
      <c r="B130" s="3059" t="str">
        <f>'Бюд.р.'!A532</f>
        <v>Социальное обеспечение населения</v>
      </c>
      <c r="C130" s="3047" t="s">
        <v>372</v>
      </c>
      <c r="D130" s="2297" t="s">
        <v>1168</v>
      </c>
      <c r="E130" s="1515"/>
      <c r="F130" s="1596"/>
      <c r="G130" s="2395">
        <f>G131</f>
        <v>959.5</v>
      </c>
      <c r="H130" s="3088">
        <v>959.5</v>
      </c>
      <c r="I130" s="3086">
        <f t="shared" si="8"/>
        <v>100</v>
      </c>
    </row>
    <row r="131" spans="1:9" ht="27.75" customHeight="1" hidden="1">
      <c r="A131" s="1854" t="s">
        <v>1033</v>
      </c>
      <c r="B131" s="1824" t="str">
        <f>'Бюд.р.'!A533</f>
        <v>РАСХОДЫ НА ПРЕДОСТАВЛЕНИЕ ДОПЛАТ К ПЕНСИИ ЛИЦАМ, ЗАМЕЩАВШИМ МУНИЦИПАЛЬНЫЕ ДОЛЖНОСТИ И ДОЛЖНОСТИ МУНИЦИПАЛЬНОЙ СЛУЖБЫ</v>
      </c>
      <c r="C131" s="1813" t="str">
        <f>C130</f>
        <v>10</v>
      </c>
      <c r="D131" s="1783" t="str">
        <f>D130</f>
        <v>03</v>
      </c>
      <c r="E131" s="1784" t="str">
        <f>'Бюд.р.'!D533</f>
        <v>505 01 00</v>
      </c>
      <c r="F131" s="3063"/>
      <c r="G131" s="1792">
        <f>G132</f>
        <v>959.5</v>
      </c>
      <c r="H131" s="3088"/>
      <c r="I131" s="3086">
        <f t="shared" si="8"/>
        <v>0</v>
      </c>
    </row>
    <row r="132" spans="1:9" ht="14.25" customHeight="1" hidden="1">
      <c r="A132" s="3072" t="s">
        <v>1072</v>
      </c>
      <c r="B132" s="1826" t="str">
        <f>'Бюд.р.'!A534</f>
        <v>Социальное обеспечение и иные выплаты населению</v>
      </c>
      <c r="C132" s="2108">
        <v>10</v>
      </c>
      <c r="D132" s="1774" t="s">
        <v>1169</v>
      </c>
      <c r="E132" s="1585" t="str">
        <f>E131</f>
        <v>505 01 00</v>
      </c>
      <c r="F132" s="1586">
        <f>'Бюд.р.'!F534</f>
        <v>300</v>
      </c>
      <c r="G132" s="1771">
        <v>959.5</v>
      </c>
      <c r="H132" s="3088"/>
      <c r="I132" s="3086">
        <f t="shared" si="8"/>
        <v>0</v>
      </c>
    </row>
    <row r="133" spans="1:9" ht="17.25" customHeight="1">
      <c r="A133" s="3068" t="s">
        <v>1073</v>
      </c>
      <c r="B133" s="3053" t="str">
        <f>'Бюд.р.'!A538</f>
        <v>Охрана семьи и детства</v>
      </c>
      <c r="C133" s="3073">
        <v>10</v>
      </c>
      <c r="D133" s="2297" t="s">
        <v>1169</v>
      </c>
      <c r="E133" s="1515"/>
      <c r="F133" s="1617"/>
      <c r="G133" s="2395">
        <f>G134+G137+G139</f>
        <v>15395.1</v>
      </c>
      <c r="H133" s="3088">
        <v>15121.5</v>
      </c>
      <c r="I133" s="3086">
        <f t="shared" si="8"/>
        <v>98.22281115419842</v>
      </c>
    </row>
    <row r="134" spans="1:9" ht="33.75" hidden="1">
      <c r="A134" s="1805" t="s">
        <v>1074</v>
      </c>
      <c r="B134" s="1827" t="str">
        <f>'Бюд.р.'!A539</f>
        <v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v>
      </c>
      <c r="C134" s="1818">
        <v>10</v>
      </c>
      <c r="D134" s="1775" t="s">
        <v>1169</v>
      </c>
      <c r="E134" s="1776" t="str">
        <f>'Бюд.р.'!D539</f>
        <v>002 80 31</v>
      </c>
      <c r="F134" s="1838"/>
      <c r="G134" s="1791">
        <f>SUM(G135:G136)</f>
        <v>3724</v>
      </c>
      <c r="H134" s="3088"/>
      <c r="I134" s="3086">
        <f t="shared" si="8"/>
        <v>0</v>
      </c>
    </row>
    <row r="135" spans="1:9" ht="36.75" customHeight="1" hidden="1">
      <c r="A135" s="1807" t="s">
        <v>1224</v>
      </c>
      <c r="B135" s="1826" t="str">
        <f>'Бюд.р.'!A540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35" s="1816">
        <v>10</v>
      </c>
      <c r="D135" s="1773" t="str">
        <f>D134</f>
        <v>04</v>
      </c>
      <c r="E135" s="1768" t="str">
        <f>E134</f>
        <v>002 80 31</v>
      </c>
      <c r="F135" s="1584">
        <f>'Бюд.р.'!F540</f>
        <v>100</v>
      </c>
      <c r="G135" s="1769">
        <v>3469</v>
      </c>
      <c r="H135" s="3088"/>
      <c r="I135" s="3086">
        <f t="shared" si="8"/>
        <v>0</v>
      </c>
    </row>
    <row r="136" spans="1:9" ht="19.5" customHeight="1" hidden="1">
      <c r="A136" s="1806" t="s">
        <v>1225</v>
      </c>
      <c r="B136" s="1826" t="str">
        <f>'Бюд.р.'!A546</f>
        <v>Закупка товаров, работ и услуг  для государственных (муниципальных) нужд</v>
      </c>
      <c r="C136" s="1816">
        <f>C135</f>
        <v>10</v>
      </c>
      <c r="D136" s="1773" t="str">
        <f>D135</f>
        <v>04</v>
      </c>
      <c r="E136" s="1768" t="str">
        <f>E135</f>
        <v>002 80 31</v>
      </c>
      <c r="F136" s="1837">
        <f>'Бюд.р.'!F546</f>
        <v>200</v>
      </c>
      <c r="G136" s="1771">
        <v>255</v>
      </c>
      <c r="H136" s="3088"/>
      <c r="I136" s="3086">
        <f t="shared" si="8"/>
        <v>0</v>
      </c>
    </row>
    <row r="137" spans="1:9" ht="39" customHeight="1" hidden="1">
      <c r="A137" s="1803" t="s">
        <v>1193</v>
      </c>
      <c r="B137" s="1824" t="str">
        <f>'Бюд.р.'!A560</f>
        <v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v>
      </c>
      <c r="C137" s="1818">
        <f>C136</f>
        <v>10</v>
      </c>
      <c r="D137" s="1775" t="str">
        <f>D136</f>
        <v>04</v>
      </c>
      <c r="E137" s="1776" t="str">
        <f>'Бюд.р.'!D560</f>
        <v>511 80 32</v>
      </c>
      <c r="F137" s="1835"/>
      <c r="G137" s="1791">
        <f>G138</f>
        <v>8777.5</v>
      </c>
      <c r="H137" s="3088"/>
      <c r="I137" s="3086">
        <f t="shared" si="8"/>
        <v>0</v>
      </c>
    </row>
    <row r="138" spans="1:9" ht="15.75" customHeight="1" hidden="1">
      <c r="A138" s="1806" t="s">
        <v>1226</v>
      </c>
      <c r="B138" s="1821" t="str">
        <f>'Бюд.р.'!A561</f>
        <v>Социальное обеспечение и иные выплаты населению</v>
      </c>
      <c r="C138" s="1816">
        <f>C137</f>
        <v>10</v>
      </c>
      <c r="D138" s="1773" t="str">
        <f>D137</f>
        <v>04</v>
      </c>
      <c r="E138" s="1768" t="str">
        <f>E137</f>
        <v>511 80 32</v>
      </c>
      <c r="F138" s="1837">
        <f>'Бюд.р.'!F561</f>
        <v>300</v>
      </c>
      <c r="G138" s="1769">
        <v>8777.5</v>
      </c>
      <c r="H138" s="3088"/>
      <c r="I138" s="3086">
        <f aca="true" t="shared" si="16" ref="I138:I149">H138/G138%</f>
        <v>0</v>
      </c>
    </row>
    <row r="139" spans="1:9" ht="36" customHeight="1" hidden="1">
      <c r="A139" s="1803" t="s">
        <v>1194</v>
      </c>
      <c r="B139" s="1824" t="str">
        <f>'Бюд.р.'!A565</f>
        <v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v>
      </c>
      <c r="C139" s="1818">
        <f>C138</f>
        <v>10</v>
      </c>
      <c r="D139" s="1775" t="str">
        <f>D138</f>
        <v>04</v>
      </c>
      <c r="E139" s="1776" t="str">
        <f>'Бюд.р.'!D565</f>
        <v>511 80 33</v>
      </c>
      <c r="F139" s="1835"/>
      <c r="G139" s="1791">
        <f>G140</f>
        <v>2893.6</v>
      </c>
      <c r="H139" s="3088"/>
      <c r="I139" s="3086">
        <f t="shared" si="16"/>
        <v>0</v>
      </c>
    </row>
    <row r="140" spans="1:9" ht="12.75" hidden="1">
      <c r="A140" s="1806" t="s">
        <v>1227</v>
      </c>
      <c r="B140" s="1822" t="str">
        <f>'Бюд.р.'!A566</f>
        <v>Социальное обеспечение и иные выплаты населению</v>
      </c>
      <c r="C140" s="1816">
        <f>C139</f>
        <v>10</v>
      </c>
      <c r="D140" s="1773" t="str">
        <f>D139</f>
        <v>04</v>
      </c>
      <c r="E140" s="1768" t="str">
        <f>E139</f>
        <v>511 80 33</v>
      </c>
      <c r="F140" s="1837">
        <f>'Бюд.р.'!F566</f>
        <v>300</v>
      </c>
      <c r="G140" s="1769">
        <v>2893.6</v>
      </c>
      <c r="H140" s="3088"/>
      <c r="I140" s="3086">
        <f t="shared" si="16"/>
        <v>0</v>
      </c>
    </row>
    <row r="141" spans="1:9" ht="18.75" customHeight="1">
      <c r="A141" s="1804" t="s">
        <v>740</v>
      </c>
      <c r="B141" s="2462" t="str">
        <f>'Бюд.р.'!A578</f>
        <v> ФИЗИЧЕСКАЯ КУЛЬТУРА И СПОРТ</v>
      </c>
      <c r="C141" s="1808" t="s">
        <v>94</v>
      </c>
      <c r="D141" s="1781"/>
      <c r="E141" s="1611"/>
      <c r="F141" s="1667"/>
      <c r="G141" s="2295">
        <f>G142</f>
        <v>3380.7</v>
      </c>
      <c r="H141" s="2295">
        <f>H142</f>
        <v>3380.7</v>
      </c>
      <c r="I141" s="3095">
        <f t="shared" si="16"/>
        <v>100.00000000000001</v>
      </c>
    </row>
    <row r="142" spans="1:9" ht="12.75">
      <c r="A142" s="3068" t="s">
        <v>91</v>
      </c>
      <c r="B142" s="3059" t="str">
        <f>'Бюд.р.'!A579</f>
        <v>Массовый спорт</v>
      </c>
      <c r="C142" s="3047" t="s">
        <v>94</v>
      </c>
      <c r="D142" s="2297" t="s">
        <v>1167</v>
      </c>
      <c r="E142" s="1515"/>
      <c r="F142" s="1596"/>
      <c r="G142" s="2395">
        <f>G143</f>
        <v>3380.7</v>
      </c>
      <c r="H142" s="3088">
        <v>3380.7</v>
      </c>
      <c r="I142" s="3086">
        <f t="shared" si="16"/>
        <v>100.00000000000001</v>
      </c>
    </row>
    <row r="143" spans="1:9" ht="51.75" customHeight="1" hidden="1">
      <c r="A143" s="1803" t="s">
        <v>1034</v>
      </c>
      <c r="B143" s="1824" t="str">
        <f>'Бюд.р.'!A580</f>
        <v>Ведомственная целевая программа по  обеспечению условий для развития на территории муниципального образования физической культуры и массового спорта, по организации и проведению официальных физкультурных мероприятий, физкультурно-оздоровительных мероприятий и спортивных мероприятий МО</v>
      </c>
      <c r="C143" s="1813" t="s">
        <v>94</v>
      </c>
      <c r="D143" s="1783" t="s">
        <v>1167</v>
      </c>
      <c r="E143" s="1784" t="str">
        <f>'Бюд.р.'!D580</f>
        <v>795 10 00</v>
      </c>
      <c r="F143" s="1839"/>
      <c r="G143" s="1792">
        <f>G144</f>
        <v>3380.7</v>
      </c>
      <c r="H143" s="3088"/>
      <c r="I143" s="3086">
        <f t="shared" si="16"/>
        <v>0</v>
      </c>
    </row>
    <row r="144" spans="1:9" ht="19.5" customHeight="1" hidden="1">
      <c r="A144" s="1806" t="s">
        <v>1228</v>
      </c>
      <c r="B144" s="1821" t="str">
        <f>'Бюд.р.'!A581</f>
        <v>Закупка товаров, работ и услуг  для государственных (муниципальных) нужд</v>
      </c>
      <c r="C144" s="1809" t="s">
        <v>94</v>
      </c>
      <c r="D144" s="1773" t="s">
        <v>1167</v>
      </c>
      <c r="E144" s="1768" t="str">
        <f>E143</f>
        <v>795 10 00</v>
      </c>
      <c r="F144" s="1584">
        <f>'Бюд.р.'!F581</f>
        <v>200</v>
      </c>
      <c r="G144" s="1769">
        <v>3380.7</v>
      </c>
      <c r="H144" s="3088"/>
      <c r="I144" s="3086">
        <f t="shared" si="16"/>
        <v>0</v>
      </c>
    </row>
    <row r="145" spans="1:9" ht="15.75" customHeight="1">
      <c r="A145" s="1804" t="s">
        <v>371</v>
      </c>
      <c r="B145" s="1819" t="str">
        <f>'Бюд.р.'!A592</f>
        <v>СРЕДСТВА МАССОВОЙ ИНФОРМАЦИИ</v>
      </c>
      <c r="C145" s="1808" t="s">
        <v>5</v>
      </c>
      <c r="D145" s="1781"/>
      <c r="E145" s="1611"/>
      <c r="F145" s="1667"/>
      <c r="G145" s="2295">
        <f>G146</f>
        <v>1464.8</v>
      </c>
      <c r="H145" s="2295">
        <f>H146</f>
        <v>1464.8</v>
      </c>
      <c r="I145" s="3095">
        <f t="shared" si="16"/>
        <v>100</v>
      </c>
    </row>
    <row r="146" spans="1:9" ht="17.25" customHeight="1" thickBot="1">
      <c r="A146" s="3068" t="s">
        <v>92</v>
      </c>
      <c r="B146" s="3053" t="str">
        <f>'Бюд.р.'!A593</f>
        <v>Периодическая печать и издательства</v>
      </c>
      <c r="C146" s="3073">
        <v>12</v>
      </c>
      <c r="D146" s="2297" t="s">
        <v>1167</v>
      </c>
      <c r="E146" s="1515"/>
      <c r="F146" s="1596"/>
      <c r="G146" s="2395">
        <f>G147</f>
        <v>1464.8</v>
      </c>
      <c r="H146" s="3088">
        <v>1464.8</v>
      </c>
      <c r="I146" s="3086">
        <f t="shared" si="16"/>
        <v>100</v>
      </c>
    </row>
    <row r="147" spans="1:9" ht="18" customHeight="1" hidden="1">
      <c r="A147" s="1803" t="s">
        <v>93</v>
      </c>
      <c r="B147" s="1824" t="str">
        <f>'Бюд.р.'!A594</f>
        <v>ОПУБЛИКОВАНИЕ МУНИЦИПАЛЬНЫХ ПРАВОВЫХ АКТОВ, ИНОЙ ИНФОРМАЦИИ </v>
      </c>
      <c r="C147" s="1818">
        <v>12</v>
      </c>
      <c r="D147" s="1775" t="s">
        <v>1167</v>
      </c>
      <c r="E147" s="1776" t="str">
        <f>'Бюд.р.'!D594</f>
        <v>457 03 00</v>
      </c>
      <c r="F147" s="1835"/>
      <c r="G147" s="1791">
        <f>G148</f>
        <v>1464.8</v>
      </c>
      <c r="H147" s="3088"/>
      <c r="I147" s="3086">
        <f t="shared" si="16"/>
        <v>0</v>
      </c>
    </row>
    <row r="148" spans="1:9" ht="22.5" hidden="1">
      <c r="A148" s="3076" t="s">
        <v>869</v>
      </c>
      <c r="B148" s="3077" t="str">
        <f>'Бюд.р.'!A595</f>
        <v>Закупка товаров, работ и услуг  для государственных (муниципальных) нужд</v>
      </c>
      <c r="C148" s="2957">
        <f>C147</f>
        <v>12</v>
      </c>
      <c r="D148" s="2890" t="str">
        <f>D147</f>
        <v>02</v>
      </c>
      <c r="E148" s="2903" t="str">
        <f>E147</f>
        <v>457 03 00</v>
      </c>
      <c r="F148" s="3078">
        <f>'Бюд.р.'!F595</f>
        <v>200</v>
      </c>
      <c r="G148" s="3085">
        <v>1464.8</v>
      </c>
      <c r="H148" s="3089"/>
      <c r="I148" s="3087">
        <f t="shared" si="16"/>
        <v>0</v>
      </c>
    </row>
    <row r="149" spans="1:9" ht="18" customHeight="1" thickBot="1">
      <c r="A149" s="3079"/>
      <c r="B149" s="3080" t="s">
        <v>294</v>
      </c>
      <c r="C149" s="3081"/>
      <c r="D149" s="2363"/>
      <c r="E149" s="2363"/>
      <c r="F149" s="3082"/>
      <c r="G149" s="2366">
        <f>G9+G56+G62+G69+G98+G120+G129+G141+G145</f>
        <v>121000</v>
      </c>
      <c r="H149" s="2366">
        <f>H9+H56+H62+H69+H98+H120+H129+H141+H145</f>
        <v>117790.9</v>
      </c>
      <c r="I149" s="3096">
        <f t="shared" si="16"/>
        <v>97.34785123966941</v>
      </c>
    </row>
    <row r="150" ht="16.5" customHeight="1"/>
  </sheetData>
  <sheetProtection/>
  <mergeCells count="7">
    <mergeCell ref="C1:I1"/>
    <mergeCell ref="A2:I2"/>
    <mergeCell ref="B3:I3"/>
    <mergeCell ref="A1:B1"/>
    <mergeCell ref="B6:I6"/>
    <mergeCell ref="A4:G4"/>
    <mergeCell ref="A5:G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9"/>
  <sheetViews>
    <sheetView zoomScalePageLayoutView="0" workbookViewId="0" topLeftCell="A1">
      <selection activeCell="C107" sqref="C107"/>
    </sheetView>
  </sheetViews>
  <sheetFormatPr defaultColWidth="9.00390625" defaultRowHeight="12.75"/>
  <cols>
    <col min="1" max="1" width="8.375" style="0" customWidth="1"/>
    <col min="2" max="2" width="19.875" style="0" customWidth="1"/>
    <col min="3" max="3" width="47.875" style="0" customWidth="1"/>
    <col min="4" max="4" width="8.875" style="0" customWidth="1"/>
    <col min="5" max="5" width="8.00390625" style="0" hidden="1" customWidth="1"/>
    <col min="6" max="6" width="7.25390625" style="0" hidden="1" customWidth="1"/>
    <col min="7" max="7" width="8.125" style="0" hidden="1" customWidth="1"/>
    <col min="8" max="8" width="7.75390625" style="0" hidden="1" customWidth="1"/>
    <col min="9" max="9" width="9.125" style="0" customWidth="1"/>
    <col min="10" max="10" width="7.00390625" style="0" customWidth="1"/>
  </cols>
  <sheetData>
    <row r="1" spans="2:10" ht="12.75" customHeight="1">
      <c r="B1" s="1275"/>
      <c r="C1" s="3173" t="s">
        <v>1424</v>
      </c>
      <c r="D1" s="3173"/>
      <c r="E1" s="3173"/>
      <c r="F1" s="3173"/>
      <c r="G1" s="3173"/>
      <c r="H1" s="3173"/>
      <c r="I1" s="3173"/>
      <c r="J1" s="3173"/>
    </row>
    <row r="2" spans="2:10" ht="12.75" customHeight="1">
      <c r="B2" s="1275"/>
      <c r="C2" s="3173" t="s">
        <v>1364</v>
      </c>
      <c r="D2" s="3173"/>
      <c r="E2" s="3173"/>
      <c r="F2" s="3173"/>
      <c r="G2" s="3173"/>
      <c r="H2" s="3173"/>
      <c r="I2" s="3173"/>
      <c r="J2" s="3173"/>
    </row>
    <row r="3" spans="2:10" ht="15.75">
      <c r="B3" s="1275"/>
      <c r="C3" s="3173" t="s">
        <v>1433</v>
      </c>
      <c r="D3" s="3173"/>
      <c r="E3" s="3173"/>
      <c r="F3" s="3173"/>
      <c r="G3" s="3173"/>
      <c r="H3" s="3173"/>
      <c r="I3" s="3173"/>
      <c r="J3" s="3173"/>
    </row>
    <row r="4" spans="2:10" ht="38.25" customHeight="1">
      <c r="B4" s="3174" t="s">
        <v>1425</v>
      </c>
      <c r="C4" s="3174"/>
      <c r="D4" s="3174"/>
      <c r="E4" s="3174"/>
      <c r="F4" s="3174"/>
      <c r="G4" s="3174"/>
      <c r="H4" s="3174"/>
      <c r="I4" s="3174"/>
      <c r="J4" s="3174"/>
    </row>
    <row r="5" spans="2:10" ht="16.5" thickBot="1">
      <c r="B5" s="3175" t="s">
        <v>1416</v>
      </c>
      <c r="C5" s="3175"/>
      <c r="D5" s="3175"/>
      <c r="E5" s="3175"/>
      <c r="F5" s="3175"/>
      <c r="G5" s="3175"/>
      <c r="H5" s="3175"/>
      <c r="I5" s="3175"/>
      <c r="J5" s="3175"/>
    </row>
    <row r="6" spans="1:10" ht="39" customHeight="1">
      <c r="A6" s="3176" t="s">
        <v>1428</v>
      </c>
      <c r="B6" s="3177"/>
      <c r="C6" s="3131" t="s">
        <v>770</v>
      </c>
      <c r="D6" s="3134" t="s">
        <v>1422</v>
      </c>
      <c r="E6" s="3005" t="s">
        <v>771</v>
      </c>
      <c r="F6" s="2996" t="s">
        <v>772</v>
      </c>
      <c r="G6" s="2996" t="s">
        <v>760</v>
      </c>
      <c r="H6" s="2996" t="s">
        <v>761</v>
      </c>
      <c r="I6" s="3131" t="s">
        <v>1414</v>
      </c>
      <c r="J6" s="3134" t="s">
        <v>1415</v>
      </c>
    </row>
    <row r="7" spans="1:10" ht="39" thickBot="1">
      <c r="A7" s="2981" t="s">
        <v>1429</v>
      </c>
      <c r="B7" s="2982" t="s">
        <v>1430</v>
      </c>
      <c r="C7" s="3133"/>
      <c r="D7" s="3136"/>
      <c r="E7" s="3006"/>
      <c r="F7" s="3001"/>
      <c r="G7" s="3001"/>
      <c r="H7" s="3001"/>
      <c r="I7" s="3133"/>
      <c r="J7" s="3136"/>
    </row>
    <row r="8" spans="1:10" ht="24" hidden="1">
      <c r="A8" s="2977"/>
      <c r="B8" s="2999" t="s">
        <v>980</v>
      </c>
      <c r="C8" s="3004" t="s">
        <v>734</v>
      </c>
      <c r="D8" s="3013">
        <f aca="true" t="shared" si="0" ref="D8:I8">-D9</f>
        <v>0</v>
      </c>
      <c r="E8" s="3007" t="e">
        <f t="shared" si="0"/>
        <v>#REF!</v>
      </c>
      <c r="F8" s="3000" t="e">
        <f t="shared" si="0"/>
        <v>#REF!</v>
      </c>
      <c r="G8" s="3000" t="e">
        <f t="shared" si="0"/>
        <v>#REF!</v>
      </c>
      <c r="H8" s="3000" t="e">
        <f t="shared" si="0"/>
        <v>#REF!</v>
      </c>
      <c r="I8" s="3014">
        <f t="shared" si="0"/>
        <v>9114.200000000026</v>
      </c>
      <c r="J8" s="3017">
        <v>0</v>
      </c>
    </row>
    <row r="9" spans="1:10" ht="25.5" hidden="1">
      <c r="A9" s="2978"/>
      <c r="B9" s="2979" t="s">
        <v>981</v>
      </c>
      <c r="C9" s="2454" t="s">
        <v>799</v>
      </c>
      <c r="D9" s="2493">
        <f aca="true" t="shared" si="1" ref="D9:I9">D50+D98</f>
        <v>0</v>
      </c>
      <c r="E9" s="3008" t="e">
        <f t="shared" si="1"/>
        <v>#REF!</v>
      </c>
      <c r="F9" s="2990" t="e">
        <f t="shared" si="1"/>
        <v>#REF!</v>
      </c>
      <c r="G9" s="2990" t="e">
        <f t="shared" si="1"/>
        <v>#REF!</v>
      </c>
      <c r="H9" s="2990" t="e">
        <f t="shared" si="1"/>
        <v>#REF!</v>
      </c>
      <c r="I9" s="3015">
        <f t="shared" si="1"/>
        <v>-9114.200000000026</v>
      </c>
      <c r="J9" s="2499">
        <v>0</v>
      </c>
    </row>
    <row r="10" spans="1:10" ht="21" customHeight="1" hidden="1">
      <c r="A10" s="2978"/>
      <c r="B10" s="2980" t="s">
        <v>982</v>
      </c>
      <c r="C10" s="2455" t="s">
        <v>208</v>
      </c>
      <c r="D10" s="2494">
        <f>D32</f>
        <v>-121000</v>
      </c>
      <c r="E10" s="94" t="e">
        <f>E32</f>
        <v>#REF!</v>
      </c>
      <c r="F10" s="92" t="e">
        <f>F32</f>
        <v>#REF!</v>
      </c>
      <c r="G10" s="92" t="e">
        <f>G32</f>
        <v>#REF!</v>
      </c>
      <c r="H10" s="92" t="e">
        <f>H32</f>
        <v>#REF!</v>
      </c>
      <c r="I10" s="2497"/>
      <c r="J10" s="2498"/>
    </row>
    <row r="11" spans="1:10" ht="22.5" customHeight="1" hidden="1">
      <c r="A11" s="2978"/>
      <c r="B11" s="2980" t="s">
        <v>983</v>
      </c>
      <c r="C11" s="2453" t="s">
        <v>210</v>
      </c>
      <c r="D11" s="2495"/>
      <c r="E11" s="284"/>
      <c r="F11" s="283"/>
      <c r="G11" s="283"/>
      <c r="H11" s="283"/>
      <c r="I11" s="2497"/>
      <c r="J11" s="2498"/>
    </row>
    <row r="12" spans="1:10" ht="22.5" customHeight="1" hidden="1">
      <c r="A12" s="2997" t="s">
        <v>1429</v>
      </c>
      <c r="B12" s="2989" t="s">
        <v>1430</v>
      </c>
      <c r="C12" s="2453" t="s">
        <v>212</v>
      </c>
      <c r="D12" s="2495"/>
      <c r="E12" s="284"/>
      <c r="F12" s="283"/>
      <c r="G12" s="283"/>
      <c r="H12" s="283"/>
      <c r="I12" s="2497"/>
      <c r="J12" s="2498"/>
    </row>
    <row r="13" spans="1:10" ht="24" hidden="1">
      <c r="A13" s="2978"/>
      <c r="B13" s="2992" t="s">
        <v>213</v>
      </c>
      <c r="C13" s="2453" t="s">
        <v>299</v>
      </c>
      <c r="D13" s="2495"/>
      <c r="E13" s="284"/>
      <c r="F13" s="283"/>
      <c r="G13" s="283"/>
      <c r="H13" s="283"/>
      <c r="I13" s="2497"/>
      <c r="J13" s="2498"/>
    </row>
    <row r="14" spans="1:10" ht="24" hidden="1">
      <c r="A14" s="2978"/>
      <c r="B14" s="2992" t="s">
        <v>300</v>
      </c>
      <c r="C14" s="2453" t="s">
        <v>301</v>
      </c>
      <c r="D14" s="2495"/>
      <c r="E14" s="284"/>
      <c r="F14" s="283"/>
      <c r="G14" s="283"/>
      <c r="H14" s="283"/>
      <c r="I14" s="2497"/>
      <c r="J14" s="2498"/>
    </row>
    <row r="15" spans="1:10" ht="24" hidden="1">
      <c r="A15" s="2978"/>
      <c r="B15" s="2992" t="s">
        <v>302</v>
      </c>
      <c r="C15" s="2453" t="s">
        <v>285</v>
      </c>
      <c r="D15" s="2495"/>
      <c r="E15" s="284"/>
      <c r="F15" s="283"/>
      <c r="G15" s="283"/>
      <c r="H15" s="283"/>
      <c r="I15" s="2497"/>
      <c r="J15" s="2498"/>
    </row>
    <row r="16" spans="1:10" ht="24" hidden="1">
      <c r="A16" s="2978"/>
      <c r="B16" s="2992" t="s">
        <v>286</v>
      </c>
      <c r="C16" s="2453" t="s">
        <v>287</v>
      </c>
      <c r="D16" s="2495"/>
      <c r="E16" s="284"/>
      <c r="F16" s="283"/>
      <c r="G16" s="283"/>
      <c r="H16" s="283"/>
      <c r="I16" s="2497"/>
      <c r="J16" s="2498"/>
    </row>
    <row r="17" spans="1:10" ht="24" hidden="1">
      <c r="A17" s="2978"/>
      <c r="B17" s="2992" t="s">
        <v>288</v>
      </c>
      <c r="C17" s="2453" t="s">
        <v>624</v>
      </c>
      <c r="D17" s="2495"/>
      <c r="E17" s="284"/>
      <c r="F17" s="283"/>
      <c r="G17" s="283"/>
      <c r="H17" s="283"/>
      <c r="I17" s="2497"/>
      <c r="J17" s="2498"/>
    </row>
    <row r="18" spans="1:10" ht="36" hidden="1">
      <c r="A18" s="2978"/>
      <c r="B18" s="2992" t="s">
        <v>625</v>
      </c>
      <c r="C18" s="2453" t="s">
        <v>626</v>
      </c>
      <c r="D18" s="2495"/>
      <c r="E18" s="284"/>
      <c r="F18" s="283"/>
      <c r="G18" s="283"/>
      <c r="H18" s="283"/>
      <c r="I18" s="2497"/>
      <c r="J18" s="2498"/>
    </row>
    <row r="19" spans="1:10" ht="48" hidden="1">
      <c r="A19" s="2978"/>
      <c r="B19" s="2992" t="s">
        <v>627</v>
      </c>
      <c r="C19" s="2453" t="s">
        <v>628</v>
      </c>
      <c r="D19" s="2495"/>
      <c r="E19" s="284"/>
      <c r="F19" s="283"/>
      <c r="G19" s="283"/>
      <c r="H19" s="283"/>
      <c r="I19" s="2497"/>
      <c r="J19" s="2498"/>
    </row>
    <row r="20" spans="1:10" ht="36" hidden="1">
      <c r="A20" s="2978"/>
      <c r="B20" s="2992" t="s">
        <v>629</v>
      </c>
      <c r="C20" s="2453" t="s">
        <v>630</v>
      </c>
      <c r="D20" s="2495"/>
      <c r="E20" s="284"/>
      <c r="F20" s="283"/>
      <c r="G20" s="283"/>
      <c r="H20" s="283"/>
      <c r="I20" s="2497"/>
      <c r="J20" s="2498"/>
    </row>
    <row r="21" spans="1:10" ht="36" hidden="1">
      <c r="A21" s="2978"/>
      <c r="B21" s="2992" t="s">
        <v>631</v>
      </c>
      <c r="C21" s="2453" t="s">
        <v>632</v>
      </c>
      <c r="D21" s="2495"/>
      <c r="E21" s="284"/>
      <c r="F21" s="283"/>
      <c r="G21" s="283"/>
      <c r="H21" s="283"/>
      <c r="I21" s="2497"/>
      <c r="J21" s="2498"/>
    </row>
    <row r="22" spans="1:10" ht="36" hidden="1">
      <c r="A22" s="2978"/>
      <c r="B22" s="2992" t="s">
        <v>633</v>
      </c>
      <c r="C22" s="2453" t="s">
        <v>634</v>
      </c>
      <c r="D22" s="2495"/>
      <c r="E22" s="284"/>
      <c r="F22" s="283"/>
      <c r="G22" s="283"/>
      <c r="H22" s="283"/>
      <c r="I22" s="2497"/>
      <c r="J22" s="2498"/>
    </row>
    <row r="23" spans="1:10" ht="36" hidden="1">
      <c r="A23" s="2978"/>
      <c r="B23" s="2992" t="s">
        <v>635</v>
      </c>
      <c r="C23" s="2453" t="s">
        <v>636</v>
      </c>
      <c r="D23" s="2495"/>
      <c r="E23" s="284"/>
      <c r="F23" s="283"/>
      <c r="G23" s="283"/>
      <c r="H23" s="283"/>
      <c r="I23" s="2497"/>
      <c r="J23" s="2498"/>
    </row>
    <row r="24" spans="1:10" ht="24" hidden="1">
      <c r="A24" s="2978"/>
      <c r="B24" s="2992" t="s">
        <v>637</v>
      </c>
      <c r="C24" s="2453" t="s">
        <v>638</v>
      </c>
      <c r="D24" s="2495"/>
      <c r="E24" s="284"/>
      <c r="F24" s="283"/>
      <c r="G24" s="283"/>
      <c r="H24" s="283"/>
      <c r="I24" s="2497"/>
      <c r="J24" s="2498"/>
    </row>
    <row r="25" spans="1:10" ht="24" hidden="1">
      <c r="A25" s="2978"/>
      <c r="B25" s="2992" t="s">
        <v>639</v>
      </c>
      <c r="C25" s="2453" t="s">
        <v>318</v>
      </c>
      <c r="D25" s="2495"/>
      <c r="E25" s="284"/>
      <c r="F25" s="283"/>
      <c r="G25" s="283"/>
      <c r="H25" s="283"/>
      <c r="I25" s="2497"/>
      <c r="J25" s="2498"/>
    </row>
    <row r="26" spans="1:10" ht="36" hidden="1">
      <c r="A26" s="2978"/>
      <c r="B26" s="2992" t="s">
        <v>319</v>
      </c>
      <c r="C26" s="2453" t="s">
        <v>320</v>
      </c>
      <c r="D26" s="2495"/>
      <c r="E26" s="284"/>
      <c r="F26" s="283"/>
      <c r="G26" s="283"/>
      <c r="H26" s="283"/>
      <c r="I26" s="2497"/>
      <c r="J26" s="2498"/>
    </row>
    <row r="27" spans="1:10" ht="24" hidden="1">
      <c r="A27" s="2978"/>
      <c r="B27" s="2992" t="s">
        <v>354</v>
      </c>
      <c r="C27" s="2453" t="s">
        <v>355</v>
      </c>
      <c r="D27" s="2495"/>
      <c r="E27" s="284"/>
      <c r="F27" s="283"/>
      <c r="G27" s="283"/>
      <c r="H27" s="283"/>
      <c r="I27" s="2497"/>
      <c r="J27" s="2498"/>
    </row>
    <row r="28" spans="1:10" ht="36" hidden="1">
      <c r="A28" s="2978"/>
      <c r="B28" s="2992" t="s">
        <v>356</v>
      </c>
      <c r="C28" s="2453" t="s">
        <v>690</v>
      </c>
      <c r="D28" s="2495"/>
      <c r="E28" s="284"/>
      <c r="F28" s="283"/>
      <c r="G28" s="283"/>
      <c r="H28" s="283"/>
      <c r="I28" s="2497"/>
      <c r="J28" s="2498"/>
    </row>
    <row r="29" spans="1:10" ht="36" hidden="1">
      <c r="A29" s="2978"/>
      <c r="B29" s="2992" t="s">
        <v>691</v>
      </c>
      <c r="C29" s="2453" t="s">
        <v>692</v>
      </c>
      <c r="D29" s="2495"/>
      <c r="E29" s="284"/>
      <c r="F29" s="283"/>
      <c r="G29" s="283"/>
      <c r="H29" s="283"/>
      <c r="I29" s="2497"/>
      <c r="J29" s="2498"/>
    </row>
    <row r="30" spans="1:10" ht="36" hidden="1">
      <c r="A30" s="2978"/>
      <c r="B30" s="2992" t="s">
        <v>693</v>
      </c>
      <c r="C30" s="2453" t="s">
        <v>694</v>
      </c>
      <c r="D30" s="2495"/>
      <c r="E30" s="284"/>
      <c r="F30" s="283"/>
      <c r="G30" s="283"/>
      <c r="H30" s="283"/>
      <c r="I30" s="2497"/>
      <c r="J30" s="2498"/>
    </row>
    <row r="31" spans="1:10" ht="48" hidden="1">
      <c r="A31" s="2978"/>
      <c r="B31" s="2992" t="s">
        <v>695</v>
      </c>
      <c r="C31" s="2453" t="s">
        <v>696</v>
      </c>
      <c r="D31" s="2495"/>
      <c r="E31" s="284"/>
      <c r="F31" s="283"/>
      <c r="G31" s="283"/>
      <c r="H31" s="283"/>
      <c r="I31" s="2497"/>
      <c r="J31" s="2498"/>
    </row>
    <row r="32" spans="1:10" ht="22.5" hidden="1">
      <c r="A32" s="2978"/>
      <c r="B32" s="2992" t="s">
        <v>982</v>
      </c>
      <c r="C32" s="2453" t="s">
        <v>697</v>
      </c>
      <c r="D32" s="2496">
        <f>D46</f>
        <v>-121000</v>
      </c>
      <c r="E32" s="3009" t="e">
        <f>E46</f>
        <v>#REF!</v>
      </c>
      <c r="F32" s="2994" t="e">
        <f>F46</f>
        <v>#REF!</v>
      </c>
      <c r="G32" s="2994" t="e">
        <f>G46</f>
        <v>#REF!</v>
      </c>
      <c r="H32" s="2994" t="e">
        <f>H46</f>
        <v>#REF!</v>
      </c>
      <c r="I32" s="2497"/>
      <c r="J32" s="2498"/>
    </row>
    <row r="33" spans="1:10" ht="22.5" hidden="1">
      <c r="A33" s="2978"/>
      <c r="B33" s="2992" t="s">
        <v>698</v>
      </c>
      <c r="C33" s="2453" t="s">
        <v>699</v>
      </c>
      <c r="D33" s="2496"/>
      <c r="E33" s="284"/>
      <c r="F33" s="283"/>
      <c r="G33" s="283"/>
      <c r="H33" s="283"/>
      <c r="I33" s="2497"/>
      <c r="J33" s="2498"/>
    </row>
    <row r="34" spans="1:10" ht="24" hidden="1">
      <c r="A34" s="2978"/>
      <c r="B34" s="2992" t="s">
        <v>700</v>
      </c>
      <c r="C34" s="2453" t="s">
        <v>701</v>
      </c>
      <c r="D34" s="2496"/>
      <c r="E34" s="284"/>
      <c r="F34" s="283"/>
      <c r="G34" s="283"/>
      <c r="H34" s="283"/>
      <c r="I34" s="2497"/>
      <c r="J34" s="2498"/>
    </row>
    <row r="35" spans="1:10" ht="24" hidden="1">
      <c r="A35" s="2978"/>
      <c r="B35" s="2992" t="s">
        <v>702</v>
      </c>
      <c r="C35" s="2453" t="s">
        <v>703</v>
      </c>
      <c r="D35" s="2496"/>
      <c r="E35" s="284"/>
      <c r="F35" s="283"/>
      <c r="G35" s="283"/>
      <c r="H35" s="283"/>
      <c r="I35" s="2497"/>
      <c r="J35" s="2498"/>
    </row>
    <row r="36" spans="1:10" ht="22.5" hidden="1">
      <c r="A36" s="2978"/>
      <c r="B36" s="2992" t="s">
        <v>704</v>
      </c>
      <c r="C36" s="2453" t="s">
        <v>705</v>
      </c>
      <c r="D36" s="2496"/>
      <c r="E36" s="284"/>
      <c r="F36" s="283"/>
      <c r="G36" s="283"/>
      <c r="H36" s="283"/>
      <c r="I36" s="2497"/>
      <c r="J36" s="2498"/>
    </row>
    <row r="37" spans="1:10" ht="24" hidden="1">
      <c r="A37" s="2978"/>
      <c r="B37" s="2992" t="s">
        <v>706</v>
      </c>
      <c r="C37" s="2453" t="s">
        <v>707</v>
      </c>
      <c r="D37" s="2496"/>
      <c r="E37" s="284"/>
      <c r="F37" s="283"/>
      <c r="G37" s="283"/>
      <c r="H37" s="283"/>
      <c r="I37" s="2497"/>
      <c r="J37" s="2498"/>
    </row>
    <row r="38" spans="1:10" ht="36" hidden="1">
      <c r="A38" s="2978"/>
      <c r="B38" s="2992" t="s">
        <v>708</v>
      </c>
      <c r="C38" s="2453" t="s">
        <v>709</v>
      </c>
      <c r="D38" s="2496"/>
      <c r="E38" s="284"/>
      <c r="F38" s="283"/>
      <c r="G38" s="283"/>
      <c r="H38" s="283"/>
      <c r="I38" s="2497"/>
      <c r="J38" s="2498"/>
    </row>
    <row r="39" spans="1:10" ht="36" hidden="1">
      <c r="A39" s="2978"/>
      <c r="B39" s="2992" t="s">
        <v>710</v>
      </c>
      <c r="C39" s="2453" t="s">
        <v>377</v>
      </c>
      <c r="D39" s="2496"/>
      <c r="E39" s="284"/>
      <c r="F39" s="283"/>
      <c r="G39" s="283"/>
      <c r="H39" s="283"/>
      <c r="I39" s="2497"/>
      <c r="J39" s="2498"/>
    </row>
    <row r="40" spans="1:10" ht="36" hidden="1">
      <c r="A40" s="2978"/>
      <c r="B40" s="2992" t="s">
        <v>378</v>
      </c>
      <c r="C40" s="2453" t="s">
        <v>379</v>
      </c>
      <c r="D40" s="2496"/>
      <c r="E40" s="284"/>
      <c r="F40" s="283"/>
      <c r="G40" s="283"/>
      <c r="H40" s="283"/>
      <c r="I40" s="2497"/>
      <c r="J40" s="2498"/>
    </row>
    <row r="41" spans="1:10" ht="24" hidden="1">
      <c r="A41" s="2978"/>
      <c r="B41" s="2992" t="s">
        <v>380</v>
      </c>
      <c r="C41" s="2453" t="s">
        <v>381</v>
      </c>
      <c r="D41" s="2496"/>
      <c r="E41" s="284"/>
      <c r="F41" s="283"/>
      <c r="G41" s="283"/>
      <c r="H41" s="283"/>
      <c r="I41" s="2497"/>
      <c r="J41" s="2498"/>
    </row>
    <row r="42" spans="1:10" ht="36" hidden="1">
      <c r="A42" s="2978"/>
      <c r="B42" s="2992" t="s">
        <v>382</v>
      </c>
      <c r="C42" s="2453" t="s">
        <v>392</v>
      </c>
      <c r="D42" s="2496"/>
      <c r="E42" s="284"/>
      <c r="F42" s="283"/>
      <c r="G42" s="283"/>
      <c r="H42" s="283"/>
      <c r="I42" s="2497"/>
      <c r="J42" s="2498"/>
    </row>
    <row r="43" spans="1:10" ht="60" hidden="1">
      <c r="A43" s="2978"/>
      <c r="B43" s="2992" t="s">
        <v>393</v>
      </c>
      <c r="C43" s="2453" t="s">
        <v>426</v>
      </c>
      <c r="D43" s="2496"/>
      <c r="E43" s="284"/>
      <c r="F43" s="283"/>
      <c r="G43" s="283"/>
      <c r="H43" s="283"/>
      <c r="I43" s="2497"/>
      <c r="J43" s="2498"/>
    </row>
    <row r="44" spans="1:10" ht="36" hidden="1">
      <c r="A44" s="2978"/>
      <c r="B44" s="2992" t="s">
        <v>427</v>
      </c>
      <c r="C44" s="2453" t="s">
        <v>428</v>
      </c>
      <c r="D44" s="2496"/>
      <c r="E44" s="284"/>
      <c r="F44" s="283"/>
      <c r="G44" s="283"/>
      <c r="H44" s="283"/>
      <c r="I44" s="2497"/>
      <c r="J44" s="2498"/>
    </row>
    <row r="45" spans="1:10" ht="36" hidden="1">
      <c r="A45" s="2978"/>
      <c r="B45" s="2992" t="s">
        <v>429</v>
      </c>
      <c r="C45" s="2453" t="s">
        <v>430</v>
      </c>
      <c r="D45" s="2496"/>
      <c r="E45" s="284"/>
      <c r="F45" s="283"/>
      <c r="G45" s="283"/>
      <c r="H45" s="283"/>
      <c r="I45" s="2497"/>
      <c r="J45" s="2498"/>
    </row>
    <row r="46" spans="1:10" ht="22.5" hidden="1">
      <c r="A46" s="2978"/>
      <c r="B46" s="2992" t="s">
        <v>983</v>
      </c>
      <c r="C46" s="2453" t="s">
        <v>699</v>
      </c>
      <c r="D46" s="2496">
        <f>D50</f>
        <v>-121000</v>
      </c>
      <c r="E46" s="3009" t="e">
        <f>E50</f>
        <v>#REF!</v>
      </c>
      <c r="F46" s="2994" t="e">
        <f>F50</f>
        <v>#REF!</v>
      </c>
      <c r="G46" s="2994" t="e">
        <f>G50</f>
        <v>#REF!</v>
      </c>
      <c r="H46" s="2994" t="e">
        <f>H50</f>
        <v>#REF!</v>
      </c>
      <c r="I46" s="2497"/>
      <c r="J46" s="2498"/>
    </row>
    <row r="47" spans="1:10" ht="24" hidden="1">
      <c r="A47" s="2978"/>
      <c r="B47" s="2992" t="s">
        <v>431</v>
      </c>
      <c r="C47" s="2453" t="s">
        <v>432</v>
      </c>
      <c r="D47" s="2496"/>
      <c r="E47" s="284"/>
      <c r="F47" s="283"/>
      <c r="G47" s="283"/>
      <c r="H47" s="283"/>
      <c r="I47" s="2497"/>
      <c r="J47" s="2498"/>
    </row>
    <row r="48" spans="1:10" ht="36" hidden="1">
      <c r="A48" s="2978"/>
      <c r="B48" s="2992" t="s">
        <v>433</v>
      </c>
      <c r="C48" s="2453" t="s">
        <v>665</v>
      </c>
      <c r="D48" s="2496"/>
      <c r="E48" s="284"/>
      <c r="F48" s="283"/>
      <c r="G48" s="283"/>
      <c r="H48" s="283"/>
      <c r="I48" s="2497"/>
      <c r="J48" s="2498"/>
    </row>
    <row r="49" spans="1:10" ht="12.75">
      <c r="A49" s="2998">
        <v>1</v>
      </c>
      <c r="B49" s="2995" t="s">
        <v>768</v>
      </c>
      <c r="C49" s="2983" t="s">
        <v>472</v>
      </c>
      <c r="D49" s="2984">
        <v>4</v>
      </c>
      <c r="E49" s="2985"/>
      <c r="F49" s="2986"/>
      <c r="G49" s="2986"/>
      <c r="H49" s="2986"/>
      <c r="I49" s="2987">
        <v>5</v>
      </c>
      <c r="J49" s="2988">
        <v>6</v>
      </c>
    </row>
    <row r="50" spans="1:10" ht="39" customHeight="1">
      <c r="A50" s="3020">
        <v>968</v>
      </c>
      <c r="B50" s="3022" t="s">
        <v>1426</v>
      </c>
      <c r="C50" s="2453" t="s">
        <v>1359</v>
      </c>
      <c r="D50" s="2496">
        <f>-кв!D115</f>
        <v>-121000</v>
      </c>
      <c r="E50" s="2491" t="e">
        <f>'ДОХ.Пр.1'!F90</f>
        <v>#REF!</v>
      </c>
      <c r="F50" s="2492" t="e">
        <f>'ДОХ.Пр.1'!G90</f>
        <v>#REF!</v>
      </c>
      <c r="G50" s="2492" t="e">
        <f>'ДОХ.Пр.1'!H90</f>
        <v>#REF!</v>
      </c>
      <c r="H50" s="2492" t="e">
        <f>'ДОХ.Пр.1'!I90</f>
        <v>#REF!</v>
      </c>
      <c r="I50" s="2500">
        <f>-'ДОХ.Пр.1'!J90</f>
        <v>-126905.10000000002</v>
      </c>
      <c r="J50" s="2496">
        <v>104.9</v>
      </c>
    </row>
    <row r="51" spans="1:10" ht="36" hidden="1">
      <c r="A51" s="3020"/>
      <c r="B51" s="3022" t="s">
        <v>666</v>
      </c>
      <c r="C51" s="2453" t="s">
        <v>420</v>
      </c>
      <c r="D51" s="2495"/>
      <c r="E51" s="2491"/>
      <c r="F51" s="2492"/>
      <c r="G51" s="2492"/>
      <c r="H51" s="2492"/>
      <c r="I51" s="2500"/>
      <c r="J51" s="2496"/>
    </row>
    <row r="52" spans="1:10" ht="36" hidden="1">
      <c r="A52" s="3020"/>
      <c r="B52" s="3022" t="s">
        <v>421</v>
      </c>
      <c r="C52" s="2453" t="s">
        <v>424</v>
      </c>
      <c r="D52" s="2495"/>
      <c r="E52" s="2491"/>
      <c r="F52" s="2492"/>
      <c r="G52" s="2492"/>
      <c r="H52" s="2492"/>
      <c r="I52" s="2500"/>
      <c r="J52" s="2496"/>
    </row>
    <row r="53" spans="1:10" ht="48" hidden="1">
      <c r="A53" s="3020"/>
      <c r="B53" s="3022" t="s">
        <v>425</v>
      </c>
      <c r="C53" s="2453" t="s">
        <v>713</v>
      </c>
      <c r="D53" s="2495"/>
      <c r="E53" s="2491"/>
      <c r="F53" s="2492"/>
      <c r="G53" s="2492"/>
      <c r="H53" s="2492"/>
      <c r="I53" s="2500"/>
      <c r="J53" s="2496"/>
    </row>
    <row r="54" spans="1:10" ht="36" hidden="1">
      <c r="A54" s="3020"/>
      <c r="B54" s="3022" t="s">
        <v>714</v>
      </c>
      <c r="C54" s="2453" t="s">
        <v>715</v>
      </c>
      <c r="D54" s="2495"/>
      <c r="E54" s="2491"/>
      <c r="F54" s="2492"/>
      <c r="G54" s="2492"/>
      <c r="H54" s="2492"/>
      <c r="I54" s="2500"/>
      <c r="J54" s="2496"/>
    </row>
    <row r="55" spans="1:10" ht="48" hidden="1">
      <c r="A55" s="3020"/>
      <c r="B55" s="3022" t="s">
        <v>716</v>
      </c>
      <c r="C55" s="2453" t="s">
        <v>369</v>
      </c>
      <c r="D55" s="2495"/>
      <c r="E55" s="2491"/>
      <c r="F55" s="2492"/>
      <c r="G55" s="2492"/>
      <c r="H55" s="2492"/>
      <c r="I55" s="2500"/>
      <c r="J55" s="2496"/>
    </row>
    <row r="56" spans="1:10" ht="25.5" hidden="1">
      <c r="A56" s="3020"/>
      <c r="B56" s="3022" t="s">
        <v>370</v>
      </c>
      <c r="C56" s="2453" t="s">
        <v>782</v>
      </c>
      <c r="D56" s="2495"/>
      <c r="E56" s="2491"/>
      <c r="F56" s="2492"/>
      <c r="G56" s="2492"/>
      <c r="H56" s="2492"/>
      <c r="I56" s="2500"/>
      <c r="J56" s="2496"/>
    </row>
    <row r="57" spans="1:10" ht="36" hidden="1">
      <c r="A57" s="3020"/>
      <c r="B57" s="3022" t="s">
        <v>783</v>
      </c>
      <c r="C57" s="2453" t="s">
        <v>784</v>
      </c>
      <c r="D57" s="2495"/>
      <c r="E57" s="2491"/>
      <c r="F57" s="2492"/>
      <c r="G57" s="2492"/>
      <c r="H57" s="2492"/>
      <c r="I57" s="2500"/>
      <c r="J57" s="2496"/>
    </row>
    <row r="58" spans="1:10" ht="36" hidden="1">
      <c r="A58" s="3020"/>
      <c r="B58" s="3022" t="s">
        <v>785</v>
      </c>
      <c r="C58" s="2453" t="s">
        <v>487</v>
      </c>
      <c r="D58" s="2495"/>
      <c r="E58" s="2491"/>
      <c r="F58" s="2492"/>
      <c r="G58" s="2492"/>
      <c r="H58" s="2492"/>
      <c r="I58" s="2500"/>
      <c r="J58" s="2496"/>
    </row>
    <row r="59" spans="1:10" ht="25.5" hidden="1">
      <c r="A59" s="3020"/>
      <c r="B59" s="3023" t="s">
        <v>984</v>
      </c>
      <c r="C59" s="2455" t="s">
        <v>488</v>
      </c>
      <c r="D59" s="2494">
        <f>D81</f>
        <v>121000</v>
      </c>
      <c r="E59" s="3010" t="e">
        <f>E81</f>
        <v>#REF!</v>
      </c>
      <c r="F59" s="2991" t="e">
        <f>F81</f>
        <v>#REF!</v>
      </c>
      <c r="G59" s="2991" t="e">
        <f>G81</f>
        <v>#REF!</v>
      </c>
      <c r="H59" s="2991" t="e">
        <f>H81</f>
        <v>#REF!</v>
      </c>
      <c r="I59" s="2500"/>
      <c r="J59" s="2496"/>
    </row>
    <row r="60" spans="1:10" ht="25.5" hidden="1">
      <c r="A60" s="3020"/>
      <c r="B60" s="3022" t="s">
        <v>209</v>
      </c>
      <c r="C60" s="2453" t="s">
        <v>489</v>
      </c>
      <c r="D60" s="2495"/>
      <c r="E60" s="2491"/>
      <c r="F60" s="2492"/>
      <c r="G60" s="2492"/>
      <c r="H60" s="2492"/>
      <c r="I60" s="2500"/>
      <c r="J60" s="2496"/>
    </row>
    <row r="61" spans="1:10" ht="25.5" hidden="1">
      <c r="A61" s="3020"/>
      <c r="B61" s="3022" t="s">
        <v>211</v>
      </c>
      <c r="C61" s="2453" t="s">
        <v>492</v>
      </c>
      <c r="D61" s="2495"/>
      <c r="E61" s="2491"/>
      <c r="F61" s="2492"/>
      <c r="G61" s="2492"/>
      <c r="H61" s="2492"/>
      <c r="I61" s="2500"/>
      <c r="J61" s="2496"/>
    </row>
    <row r="62" spans="1:10" ht="25.5" hidden="1">
      <c r="A62" s="3020"/>
      <c r="B62" s="3022" t="s">
        <v>213</v>
      </c>
      <c r="C62" s="2453" t="s">
        <v>495</v>
      </c>
      <c r="D62" s="2495"/>
      <c r="E62" s="2491"/>
      <c r="F62" s="2492"/>
      <c r="G62" s="2492"/>
      <c r="H62" s="2492"/>
      <c r="I62" s="2500"/>
      <c r="J62" s="2496"/>
    </row>
    <row r="63" spans="1:10" ht="25.5" hidden="1">
      <c r="A63" s="3020"/>
      <c r="B63" s="3022" t="s">
        <v>300</v>
      </c>
      <c r="C63" s="2453" t="s">
        <v>496</v>
      </c>
      <c r="D63" s="2495"/>
      <c r="E63" s="2491"/>
      <c r="F63" s="2492"/>
      <c r="G63" s="2492"/>
      <c r="H63" s="2492"/>
      <c r="I63" s="2500"/>
      <c r="J63" s="2496"/>
    </row>
    <row r="64" spans="1:10" ht="25.5" hidden="1">
      <c r="A64" s="3020"/>
      <c r="B64" s="3022" t="s">
        <v>302</v>
      </c>
      <c r="C64" s="2453" t="s">
        <v>497</v>
      </c>
      <c r="D64" s="2495"/>
      <c r="E64" s="2491"/>
      <c r="F64" s="2492"/>
      <c r="G64" s="2492"/>
      <c r="H64" s="2492"/>
      <c r="I64" s="2500"/>
      <c r="J64" s="2496"/>
    </row>
    <row r="65" spans="1:10" ht="25.5" hidden="1">
      <c r="A65" s="3020"/>
      <c r="B65" s="3022" t="s">
        <v>286</v>
      </c>
      <c r="C65" s="2453" t="s">
        <v>498</v>
      </c>
      <c r="D65" s="2495"/>
      <c r="E65" s="2491"/>
      <c r="F65" s="2492"/>
      <c r="G65" s="2492"/>
      <c r="H65" s="2492"/>
      <c r="I65" s="2500"/>
      <c r="J65" s="2496"/>
    </row>
    <row r="66" spans="1:10" ht="25.5" hidden="1">
      <c r="A66" s="3020"/>
      <c r="B66" s="3022" t="s">
        <v>288</v>
      </c>
      <c r="C66" s="2453" t="s">
        <v>499</v>
      </c>
      <c r="D66" s="2495"/>
      <c r="E66" s="2491"/>
      <c r="F66" s="2492"/>
      <c r="G66" s="2492"/>
      <c r="H66" s="2492"/>
      <c r="I66" s="2500"/>
      <c r="J66" s="2496"/>
    </row>
    <row r="67" spans="1:10" ht="36" hidden="1">
      <c r="A67" s="3020"/>
      <c r="B67" s="3022" t="s">
        <v>625</v>
      </c>
      <c r="C67" s="2453" t="s">
        <v>500</v>
      </c>
      <c r="D67" s="2495"/>
      <c r="E67" s="2491"/>
      <c r="F67" s="2492"/>
      <c r="G67" s="2492"/>
      <c r="H67" s="2492"/>
      <c r="I67" s="2500"/>
      <c r="J67" s="2496"/>
    </row>
    <row r="68" spans="1:10" ht="48" hidden="1">
      <c r="A68" s="3020"/>
      <c r="B68" s="3022" t="s">
        <v>627</v>
      </c>
      <c r="C68" s="2453" t="s">
        <v>501</v>
      </c>
      <c r="D68" s="2495"/>
      <c r="E68" s="2491"/>
      <c r="F68" s="2492"/>
      <c r="G68" s="2492"/>
      <c r="H68" s="2492"/>
      <c r="I68" s="2500"/>
      <c r="J68" s="2496"/>
    </row>
    <row r="69" spans="1:10" ht="36" hidden="1">
      <c r="A69" s="3020"/>
      <c r="B69" s="3022" t="s">
        <v>629</v>
      </c>
      <c r="C69" s="2453" t="s">
        <v>741</v>
      </c>
      <c r="D69" s="2495"/>
      <c r="E69" s="2491"/>
      <c r="F69" s="2492"/>
      <c r="G69" s="2492"/>
      <c r="H69" s="2492"/>
      <c r="I69" s="2500"/>
      <c r="J69" s="2496"/>
    </row>
    <row r="70" spans="1:10" ht="36" hidden="1">
      <c r="A70" s="3020"/>
      <c r="B70" s="3022" t="s">
        <v>631</v>
      </c>
      <c r="C70" s="2453" t="s">
        <v>742</v>
      </c>
      <c r="D70" s="2495"/>
      <c r="E70" s="2491"/>
      <c r="F70" s="2492"/>
      <c r="G70" s="2492"/>
      <c r="H70" s="2492"/>
      <c r="I70" s="2500"/>
      <c r="J70" s="2496"/>
    </row>
    <row r="71" spans="1:10" ht="36" hidden="1">
      <c r="A71" s="3020"/>
      <c r="B71" s="3022" t="s">
        <v>633</v>
      </c>
      <c r="C71" s="2453" t="s">
        <v>743</v>
      </c>
      <c r="D71" s="2495"/>
      <c r="E71" s="2491"/>
      <c r="F71" s="2492"/>
      <c r="G71" s="2492"/>
      <c r="H71" s="2492"/>
      <c r="I71" s="2500"/>
      <c r="J71" s="2496"/>
    </row>
    <row r="72" spans="1:10" ht="25.5" hidden="1">
      <c r="A72" s="3020"/>
      <c r="B72" s="3022" t="s">
        <v>635</v>
      </c>
      <c r="C72" s="2453" t="s">
        <v>744</v>
      </c>
      <c r="D72" s="2495"/>
      <c r="E72" s="2491"/>
      <c r="F72" s="2492"/>
      <c r="G72" s="2492"/>
      <c r="H72" s="2492"/>
      <c r="I72" s="2500"/>
      <c r="J72" s="2496"/>
    </row>
    <row r="73" spans="1:10" ht="25.5" hidden="1">
      <c r="A73" s="3020"/>
      <c r="B73" s="3022" t="s">
        <v>637</v>
      </c>
      <c r="C73" s="2453" t="s">
        <v>745</v>
      </c>
      <c r="D73" s="2495"/>
      <c r="E73" s="2491"/>
      <c r="F73" s="2492"/>
      <c r="G73" s="2492"/>
      <c r="H73" s="2492"/>
      <c r="I73" s="2500"/>
      <c r="J73" s="2496"/>
    </row>
    <row r="74" spans="1:10" ht="25.5" hidden="1">
      <c r="A74" s="3020"/>
      <c r="B74" s="3022" t="s">
        <v>639</v>
      </c>
      <c r="C74" s="2453" t="s">
        <v>748</v>
      </c>
      <c r="D74" s="2495"/>
      <c r="E74" s="2491"/>
      <c r="F74" s="2492"/>
      <c r="G74" s="2492"/>
      <c r="H74" s="2492"/>
      <c r="I74" s="2500"/>
      <c r="J74" s="2496"/>
    </row>
    <row r="75" spans="1:10" ht="36" hidden="1">
      <c r="A75" s="3020"/>
      <c r="B75" s="3022" t="s">
        <v>319</v>
      </c>
      <c r="C75" s="2453" t="s">
        <v>751</v>
      </c>
      <c r="D75" s="2495"/>
      <c r="E75" s="2491"/>
      <c r="F75" s="2492"/>
      <c r="G75" s="2492"/>
      <c r="H75" s="2492"/>
      <c r="I75" s="2500"/>
      <c r="J75" s="2496"/>
    </row>
    <row r="76" spans="1:10" ht="25.5" hidden="1">
      <c r="A76" s="3020"/>
      <c r="B76" s="3022" t="s">
        <v>354</v>
      </c>
      <c r="C76" s="2453" t="s">
        <v>752</v>
      </c>
      <c r="D76" s="2495"/>
      <c r="E76" s="2491"/>
      <c r="F76" s="2492"/>
      <c r="G76" s="2492"/>
      <c r="H76" s="2492"/>
      <c r="I76" s="2500"/>
      <c r="J76" s="2496"/>
    </row>
    <row r="77" spans="1:10" ht="36" hidden="1">
      <c r="A77" s="3020"/>
      <c r="B77" s="3022" t="s">
        <v>356</v>
      </c>
      <c r="C77" s="2453" t="s">
        <v>753</v>
      </c>
      <c r="D77" s="2495"/>
      <c r="E77" s="2491"/>
      <c r="F77" s="2492"/>
      <c r="G77" s="2492"/>
      <c r="H77" s="2492"/>
      <c r="I77" s="2500"/>
      <c r="J77" s="2496"/>
    </row>
    <row r="78" spans="1:10" ht="36" hidden="1">
      <c r="A78" s="3020"/>
      <c r="B78" s="3022" t="s">
        <v>691</v>
      </c>
      <c r="C78" s="2453" t="s">
        <v>755</v>
      </c>
      <c r="D78" s="2495"/>
      <c r="E78" s="2491"/>
      <c r="F78" s="2492"/>
      <c r="G78" s="2492"/>
      <c r="H78" s="2492"/>
      <c r="I78" s="2500"/>
      <c r="J78" s="2496"/>
    </row>
    <row r="79" spans="1:10" ht="36" hidden="1">
      <c r="A79" s="3020"/>
      <c r="B79" s="3022" t="s">
        <v>693</v>
      </c>
      <c r="C79" s="2453" t="s">
        <v>759</v>
      </c>
      <c r="D79" s="2495"/>
      <c r="E79" s="2491"/>
      <c r="F79" s="2492"/>
      <c r="G79" s="2492"/>
      <c r="H79" s="2492"/>
      <c r="I79" s="2500"/>
      <c r="J79" s="2496"/>
    </row>
    <row r="80" spans="1:10" ht="36" hidden="1">
      <c r="A80" s="3020"/>
      <c r="B80" s="3022" t="s">
        <v>695</v>
      </c>
      <c r="C80" s="2453" t="s">
        <v>717</v>
      </c>
      <c r="D80" s="2495"/>
      <c r="E80" s="2491"/>
      <c r="F80" s="2492"/>
      <c r="G80" s="2492"/>
      <c r="H80" s="2492"/>
      <c r="I80" s="2500"/>
      <c r="J80" s="2496"/>
    </row>
    <row r="81" spans="1:10" ht="25.5" hidden="1">
      <c r="A81" s="3020"/>
      <c r="B81" s="3022" t="s">
        <v>985</v>
      </c>
      <c r="C81" s="2453" t="s">
        <v>729</v>
      </c>
      <c r="D81" s="2496">
        <f>D95</f>
        <v>121000</v>
      </c>
      <c r="E81" s="3011" t="e">
        <f>E95</f>
        <v>#REF!</v>
      </c>
      <c r="F81" s="2993" t="e">
        <f>F95</f>
        <v>#REF!</v>
      </c>
      <c r="G81" s="2993" t="e">
        <f>G95</f>
        <v>#REF!</v>
      </c>
      <c r="H81" s="2993" t="e">
        <f>H95</f>
        <v>#REF!</v>
      </c>
      <c r="I81" s="2500"/>
      <c r="J81" s="2496"/>
    </row>
    <row r="82" spans="1:10" ht="25.5" hidden="1">
      <c r="A82" s="3020"/>
      <c r="B82" s="3022" t="s">
        <v>698</v>
      </c>
      <c r="C82" s="2453" t="s">
        <v>730</v>
      </c>
      <c r="D82" s="2496"/>
      <c r="E82" s="2491"/>
      <c r="F82" s="2492"/>
      <c r="G82" s="2492"/>
      <c r="H82" s="2492"/>
      <c r="I82" s="2500"/>
      <c r="J82" s="2496"/>
    </row>
    <row r="83" spans="1:10" ht="25.5" hidden="1">
      <c r="A83" s="3020"/>
      <c r="B83" s="3022" t="s">
        <v>700</v>
      </c>
      <c r="C83" s="2453" t="s">
        <v>731</v>
      </c>
      <c r="D83" s="2496"/>
      <c r="E83" s="2491"/>
      <c r="F83" s="2492"/>
      <c r="G83" s="2492"/>
      <c r="H83" s="2492"/>
      <c r="I83" s="2500"/>
      <c r="J83" s="2496"/>
    </row>
    <row r="84" spans="1:10" ht="25.5" hidden="1">
      <c r="A84" s="3020"/>
      <c r="B84" s="3022" t="s">
        <v>702</v>
      </c>
      <c r="C84" s="2453" t="s">
        <v>1</v>
      </c>
      <c r="D84" s="2496"/>
      <c r="E84" s="2491"/>
      <c r="F84" s="2492"/>
      <c r="G84" s="2492"/>
      <c r="H84" s="2492"/>
      <c r="I84" s="2500"/>
      <c r="J84" s="2496"/>
    </row>
    <row r="85" spans="1:10" ht="25.5" hidden="1">
      <c r="A85" s="3020"/>
      <c r="B85" s="3022" t="s">
        <v>704</v>
      </c>
      <c r="C85" s="2453" t="s">
        <v>2</v>
      </c>
      <c r="D85" s="2496"/>
      <c r="E85" s="2491"/>
      <c r="F85" s="2492"/>
      <c r="G85" s="2492"/>
      <c r="H85" s="2492"/>
      <c r="I85" s="2500"/>
      <c r="J85" s="2496"/>
    </row>
    <row r="86" spans="1:10" ht="25.5" hidden="1">
      <c r="A86" s="3020"/>
      <c r="B86" s="3022" t="s">
        <v>706</v>
      </c>
      <c r="C86" s="2453" t="s">
        <v>3</v>
      </c>
      <c r="D86" s="2496"/>
      <c r="E86" s="2491"/>
      <c r="F86" s="2492"/>
      <c r="G86" s="2492"/>
      <c r="H86" s="2492"/>
      <c r="I86" s="2500"/>
      <c r="J86" s="2496"/>
    </row>
    <row r="87" spans="1:10" ht="36" hidden="1">
      <c r="A87" s="3020"/>
      <c r="B87" s="3022" t="s">
        <v>708</v>
      </c>
      <c r="C87" s="2453" t="s">
        <v>4</v>
      </c>
      <c r="D87" s="2496"/>
      <c r="E87" s="2491"/>
      <c r="F87" s="2492"/>
      <c r="G87" s="2492"/>
      <c r="H87" s="2492"/>
      <c r="I87" s="2500"/>
      <c r="J87" s="2496"/>
    </row>
    <row r="88" spans="1:10" ht="36" hidden="1">
      <c r="A88" s="3020"/>
      <c r="B88" s="3022" t="s">
        <v>710</v>
      </c>
      <c r="C88" s="2453" t="s">
        <v>19</v>
      </c>
      <c r="D88" s="2496"/>
      <c r="E88" s="2491"/>
      <c r="F88" s="2492"/>
      <c r="G88" s="2492"/>
      <c r="H88" s="2492"/>
      <c r="I88" s="2500"/>
      <c r="J88" s="2496"/>
    </row>
    <row r="89" spans="1:10" ht="36" hidden="1">
      <c r="A89" s="3020"/>
      <c r="B89" s="3022" t="s">
        <v>378</v>
      </c>
      <c r="C89" s="2453" t="s">
        <v>60</v>
      </c>
      <c r="D89" s="2496"/>
      <c r="E89" s="2491"/>
      <c r="F89" s="2492"/>
      <c r="G89" s="2492"/>
      <c r="H89" s="2492"/>
      <c r="I89" s="2500"/>
      <c r="J89" s="2496"/>
    </row>
    <row r="90" spans="1:10" ht="25.5" hidden="1">
      <c r="A90" s="3020"/>
      <c r="B90" s="3022" t="s">
        <v>380</v>
      </c>
      <c r="C90" s="2453" t="s">
        <v>61</v>
      </c>
      <c r="D90" s="2496"/>
      <c r="E90" s="2491"/>
      <c r="F90" s="2492"/>
      <c r="G90" s="2492"/>
      <c r="H90" s="2492"/>
      <c r="I90" s="2500"/>
      <c r="J90" s="2496"/>
    </row>
    <row r="91" spans="1:10" ht="36" hidden="1">
      <c r="A91" s="3020"/>
      <c r="B91" s="3022" t="s">
        <v>382</v>
      </c>
      <c r="C91" s="2453" t="s">
        <v>62</v>
      </c>
      <c r="D91" s="2496"/>
      <c r="E91" s="2491"/>
      <c r="F91" s="2492"/>
      <c r="G91" s="2492"/>
      <c r="H91" s="2492"/>
      <c r="I91" s="2500"/>
      <c r="J91" s="2496"/>
    </row>
    <row r="92" spans="1:10" ht="60" hidden="1">
      <c r="A92" s="3020"/>
      <c r="B92" s="3022" t="s">
        <v>393</v>
      </c>
      <c r="C92" s="2453" t="s">
        <v>86</v>
      </c>
      <c r="D92" s="2496"/>
      <c r="E92" s="2491"/>
      <c r="F92" s="2492"/>
      <c r="G92" s="2492"/>
      <c r="H92" s="2492"/>
      <c r="I92" s="2500"/>
      <c r="J92" s="2496"/>
    </row>
    <row r="93" spans="1:10" ht="36" hidden="1">
      <c r="A93" s="3020"/>
      <c r="B93" s="3022" t="s">
        <v>427</v>
      </c>
      <c r="C93" s="2453" t="s">
        <v>37</v>
      </c>
      <c r="D93" s="2496"/>
      <c r="E93" s="2491"/>
      <c r="F93" s="2492"/>
      <c r="G93" s="2492"/>
      <c r="H93" s="2492"/>
      <c r="I93" s="2500"/>
      <c r="J93" s="2496"/>
    </row>
    <row r="94" spans="1:10" ht="36" hidden="1">
      <c r="A94" s="3020"/>
      <c r="B94" s="3022" t="s">
        <v>429</v>
      </c>
      <c r="C94" s="2453" t="s">
        <v>38</v>
      </c>
      <c r="D94" s="2496"/>
      <c r="E94" s="2491"/>
      <c r="F94" s="2492"/>
      <c r="G94" s="2492"/>
      <c r="H94" s="2492"/>
      <c r="I94" s="2500"/>
      <c r="J94" s="2496"/>
    </row>
    <row r="95" spans="1:10" ht="25.5" hidden="1">
      <c r="A95" s="3020"/>
      <c r="B95" s="3022" t="s">
        <v>986</v>
      </c>
      <c r="C95" s="2453" t="s">
        <v>730</v>
      </c>
      <c r="D95" s="2496">
        <f>D98</f>
        <v>121000</v>
      </c>
      <c r="E95" s="3011" t="e">
        <f>E98</f>
        <v>#REF!</v>
      </c>
      <c r="F95" s="2993" t="e">
        <f>F98</f>
        <v>#REF!</v>
      </c>
      <c r="G95" s="2993" t="e">
        <f>G98</f>
        <v>#REF!</v>
      </c>
      <c r="H95" s="2993" t="e">
        <f>H98</f>
        <v>#REF!</v>
      </c>
      <c r="I95" s="2500"/>
      <c r="J95" s="2496"/>
    </row>
    <row r="96" spans="1:10" ht="25.5" hidden="1">
      <c r="A96" s="3020"/>
      <c r="B96" s="3022" t="s">
        <v>431</v>
      </c>
      <c r="C96" s="2453" t="s">
        <v>432</v>
      </c>
      <c r="D96" s="2496"/>
      <c r="E96" s="2491"/>
      <c r="F96" s="2492"/>
      <c r="G96" s="2492"/>
      <c r="H96" s="2492"/>
      <c r="I96" s="2500"/>
      <c r="J96" s="2496"/>
    </row>
    <row r="97" spans="1:10" ht="36" hidden="1">
      <c r="A97" s="3020"/>
      <c r="B97" s="3022" t="s">
        <v>433</v>
      </c>
      <c r="C97" s="2453" t="s">
        <v>665</v>
      </c>
      <c r="D97" s="2496"/>
      <c r="E97" s="2491"/>
      <c r="F97" s="2492"/>
      <c r="G97" s="2492"/>
      <c r="H97" s="2492"/>
      <c r="I97" s="2500"/>
      <c r="J97" s="2496"/>
    </row>
    <row r="98" spans="1:10" ht="37.5" customHeight="1" thickBot="1">
      <c r="A98" s="3021">
        <v>968</v>
      </c>
      <c r="B98" s="3024" t="s">
        <v>1427</v>
      </c>
      <c r="C98" s="40" t="s">
        <v>1360</v>
      </c>
      <c r="D98" s="2501">
        <f>'Бюд.р.'!H604</f>
        <v>121000</v>
      </c>
      <c r="E98" s="3012" t="e">
        <f>'ВЕД.СТ Пр.2.'!L175</f>
        <v>#REF!</v>
      </c>
      <c r="F98" s="2519" t="e">
        <f>'ВЕД.СТ Пр.2.'!M175</f>
        <v>#REF!</v>
      </c>
      <c r="G98" s="2519" t="e">
        <f>'ВЕД.СТ Пр.2.'!N175</f>
        <v>#REF!</v>
      </c>
      <c r="H98" s="2519" t="e">
        <f>'ВЕД.СТ Пр.2.'!O175</f>
        <v>#REF!</v>
      </c>
      <c r="I98" s="3016">
        <f>'ВЕД.СТ Пр.2.'!J175</f>
        <v>117790.9</v>
      </c>
      <c r="J98" s="2501">
        <v>97.3</v>
      </c>
    </row>
    <row r="99" spans="1:10" ht="16.5" thickBot="1">
      <c r="A99" s="3002"/>
      <c r="B99" s="3003"/>
      <c r="C99" s="3019" t="s">
        <v>413</v>
      </c>
      <c r="D99" s="3025">
        <f aca="true" t="shared" si="2" ref="D99:I99">D98+D50</f>
        <v>0</v>
      </c>
      <c r="E99" s="3025" t="e">
        <f t="shared" si="2"/>
        <v>#REF!</v>
      </c>
      <c r="F99" s="3025" t="e">
        <f t="shared" si="2"/>
        <v>#REF!</v>
      </c>
      <c r="G99" s="3025" t="e">
        <f t="shared" si="2"/>
        <v>#REF!</v>
      </c>
      <c r="H99" s="3025" t="e">
        <f t="shared" si="2"/>
        <v>#REF!</v>
      </c>
      <c r="I99" s="3025">
        <f t="shared" si="2"/>
        <v>-9114.200000000026</v>
      </c>
      <c r="J99" s="3018">
        <v>0</v>
      </c>
    </row>
  </sheetData>
  <sheetProtection/>
  <mergeCells count="10">
    <mergeCell ref="C3:J3"/>
    <mergeCell ref="C2:J2"/>
    <mergeCell ref="C1:J1"/>
    <mergeCell ref="B4:J4"/>
    <mergeCell ref="B5:J5"/>
    <mergeCell ref="A6:B6"/>
    <mergeCell ref="C6:C7"/>
    <mergeCell ref="D6:D7"/>
    <mergeCell ref="I6:I7"/>
    <mergeCell ref="J6:J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08"/>
  <sheetViews>
    <sheetView zoomScale="88" zoomScaleNormal="88" zoomScalePageLayoutView="0" workbookViewId="0" topLeftCell="C63">
      <selection activeCell="M66" sqref="M66"/>
    </sheetView>
  </sheetViews>
  <sheetFormatPr defaultColWidth="9.00390625" defaultRowHeight="12.75"/>
  <cols>
    <col min="1" max="1" width="76.00390625" style="0" customWidth="1"/>
    <col min="2" max="2" width="5.00390625" style="0" customWidth="1"/>
    <col min="3" max="3" width="6.75390625" style="0" customWidth="1"/>
    <col min="4" max="4" width="11.625" style="0" customWidth="1"/>
    <col min="5" max="5" width="5.375" style="0" hidden="1" customWidth="1"/>
    <col min="6" max="6" width="5.375" style="0" customWidth="1"/>
    <col min="7" max="7" width="5.00390625" style="0" customWidth="1"/>
    <col min="8" max="8" width="12.125" style="0" customWidth="1"/>
    <col min="9" max="9" width="10.875" style="0" customWidth="1"/>
    <col min="10" max="10" width="10.75390625" style="0" customWidth="1"/>
    <col min="11" max="11" width="10.875" style="0" customWidth="1"/>
    <col min="12" max="12" width="11.00390625" style="0" customWidth="1"/>
    <col min="13" max="13" width="11.875" style="0" bestFit="1" customWidth="1"/>
    <col min="14" max="14" width="11.125" style="0" bestFit="1" customWidth="1"/>
  </cols>
  <sheetData>
    <row r="1" spans="4:12" ht="12.75" hidden="1">
      <c r="D1" s="3100" t="s">
        <v>1235</v>
      </c>
      <c r="E1" s="3100"/>
      <c r="F1" s="3100"/>
      <c r="G1" s="3100"/>
      <c r="H1" s="3100"/>
      <c r="I1" s="3100"/>
      <c r="J1" s="3100"/>
      <c r="K1" s="3100"/>
      <c r="L1" s="3100"/>
    </row>
    <row r="2" spans="4:12" ht="12.75" hidden="1">
      <c r="D2" s="3100" t="s">
        <v>1249</v>
      </c>
      <c r="E2" s="3100"/>
      <c r="F2" s="3100"/>
      <c r="G2" s="3100"/>
      <c r="H2" s="3100"/>
      <c r="I2" s="3100"/>
      <c r="J2" s="3100"/>
      <c r="K2" s="3100"/>
      <c r="L2" s="3100"/>
    </row>
    <row r="3" spans="1:12" ht="15" hidden="1">
      <c r="A3" s="3185" t="s">
        <v>84</v>
      </c>
      <c r="B3" s="3185"/>
      <c r="C3" s="3185"/>
      <c r="D3" s="3185"/>
      <c r="E3" s="3185"/>
      <c r="F3" s="3185"/>
      <c r="G3" s="3185"/>
      <c r="H3" s="3185"/>
      <c r="I3" s="3185"/>
      <c r="J3" s="3185"/>
      <c r="K3" s="3185"/>
      <c r="L3" s="3185"/>
    </row>
    <row r="4" spans="1:12" ht="15.75" hidden="1" thickBot="1">
      <c r="A4" s="3185" t="s">
        <v>1106</v>
      </c>
      <c r="B4" s="3185"/>
      <c r="C4" s="3185"/>
      <c r="D4" s="3185"/>
      <c r="E4" s="3185"/>
      <c r="F4" s="3185"/>
      <c r="G4" s="3185"/>
      <c r="H4" s="3185"/>
      <c r="I4" s="3185"/>
      <c r="J4" s="3185"/>
      <c r="K4" s="3185"/>
      <c r="L4" s="3185"/>
    </row>
    <row r="5" spans="1:12" ht="57" hidden="1" thickBot="1">
      <c r="A5" s="292" t="s">
        <v>219</v>
      </c>
      <c r="B5" s="293" t="s">
        <v>444</v>
      </c>
      <c r="C5" s="293" t="s">
        <v>232</v>
      </c>
      <c r="D5" s="293" t="s">
        <v>230</v>
      </c>
      <c r="E5" s="293" t="s">
        <v>101</v>
      </c>
      <c r="F5" s="293" t="s">
        <v>101</v>
      </c>
      <c r="G5" s="299" t="s">
        <v>322</v>
      </c>
      <c r="H5" s="306" t="s">
        <v>268</v>
      </c>
      <c r="I5" s="306" t="s">
        <v>771</v>
      </c>
      <c r="J5" s="461" t="s">
        <v>772</v>
      </c>
      <c r="K5" s="306" t="s">
        <v>760</v>
      </c>
      <c r="L5" s="580" t="s">
        <v>761</v>
      </c>
    </row>
    <row r="6" spans="1:12" ht="13.5" hidden="1" thickBot="1">
      <c r="A6" s="294">
        <v>1</v>
      </c>
      <c r="B6" s="295">
        <v>2</v>
      </c>
      <c r="C6" s="295">
        <v>3</v>
      </c>
      <c r="D6" s="295">
        <v>4</v>
      </c>
      <c r="E6" s="295">
        <v>5</v>
      </c>
      <c r="F6" s="300">
        <v>5</v>
      </c>
      <c r="G6" s="300">
        <v>6</v>
      </c>
      <c r="H6" s="307">
        <v>7</v>
      </c>
      <c r="I6" s="307">
        <v>8</v>
      </c>
      <c r="J6" s="462">
        <v>9</v>
      </c>
      <c r="K6" s="307">
        <v>10</v>
      </c>
      <c r="L6" s="581">
        <v>11</v>
      </c>
    </row>
    <row r="7" spans="1:12" ht="13.5" hidden="1" thickBot="1">
      <c r="A7" s="117" t="s">
        <v>1107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1063"/>
    </row>
    <row r="8" spans="1:12" ht="15.75" hidden="1" thickBot="1">
      <c r="A8" s="569" t="s">
        <v>102</v>
      </c>
      <c r="B8" s="570">
        <v>917</v>
      </c>
      <c r="C8" s="570">
        <v>100</v>
      </c>
      <c r="D8" s="570"/>
      <c r="E8" s="570"/>
      <c r="F8" s="571"/>
      <c r="G8" s="571"/>
      <c r="H8" s="572">
        <f aca="true" t="shared" si="0" ref="H8:H29">SUM(I8:L8)</f>
        <v>0</v>
      </c>
      <c r="I8" s="572">
        <f>I9</f>
        <v>0</v>
      </c>
      <c r="J8" s="572">
        <f>J9</f>
        <v>0</v>
      </c>
      <c r="K8" s="572">
        <f>K9</f>
        <v>0</v>
      </c>
      <c r="L8" s="572">
        <f>L9</f>
        <v>0</v>
      </c>
    </row>
    <row r="9" spans="1:12" ht="12.75" hidden="1">
      <c r="A9" s="574" t="s">
        <v>21</v>
      </c>
      <c r="B9" s="566">
        <v>917</v>
      </c>
      <c r="C9" s="566">
        <v>107</v>
      </c>
      <c r="D9" s="566"/>
      <c r="E9" s="566"/>
      <c r="F9" s="567"/>
      <c r="G9" s="567"/>
      <c r="H9" s="568">
        <f t="shared" si="0"/>
        <v>0</v>
      </c>
      <c r="I9" s="568">
        <f>I11</f>
        <v>0</v>
      </c>
      <c r="J9" s="1547">
        <f>J10</f>
        <v>0</v>
      </c>
      <c r="K9" s="596">
        <f>K11</f>
        <v>0</v>
      </c>
      <c r="L9" s="1548">
        <f>L11</f>
        <v>0</v>
      </c>
    </row>
    <row r="10" spans="1:12" ht="14.25" customHeight="1" hidden="1">
      <c r="A10" s="1542" t="s">
        <v>1117</v>
      </c>
      <c r="B10" s="1543">
        <v>917</v>
      </c>
      <c r="C10" s="1543">
        <v>107</v>
      </c>
      <c r="D10" s="1543" t="s">
        <v>1116</v>
      </c>
      <c r="E10" s="1543"/>
      <c r="F10" s="1544"/>
      <c r="G10" s="1544"/>
      <c r="H10" s="1549">
        <f t="shared" si="0"/>
        <v>0</v>
      </c>
      <c r="I10" s="1549">
        <f>I11+I26</f>
        <v>0</v>
      </c>
      <c r="J10" s="1549">
        <f>J11+J26</f>
        <v>0</v>
      </c>
      <c r="K10" s="1549">
        <f>K11+K26</f>
        <v>0</v>
      </c>
      <c r="L10" s="1549">
        <f>L11+L26</f>
        <v>0</v>
      </c>
    </row>
    <row r="11" spans="1:12" ht="12.75" hidden="1">
      <c r="A11" s="310" t="s">
        <v>141</v>
      </c>
      <c r="B11" s="100">
        <v>917</v>
      </c>
      <c r="C11" s="100">
        <v>107</v>
      </c>
      <c r="D11" s="100" t="s">
        <v>142</v>
      </c>
      <c r="E11" s="100"/>
      <c r="F11" s="312"/>
      <c r="G11" s="312"/>
      <c r="H11" s="319">
        <f t="shared" si="0"/>
        <v>0</v>
      </c>
      <c r="I11" s="319">
        <f>I12+I15</f>
        <v>0</v>
      </c>
      <c r="J11" s="319">
        <f>J12+J15</f>
        <v>0</v>
      </c>
      <c r="K11" s="319">
        <f>K12+K15</f>
        <v>0</v>
      </c>
      <c r="L11" s="319">
        <f>L12+L15</f>
        <v>0</v>
      </c>
    </row>
    <row r="12" spans="1:12" ht="36" hidden="1">
      <c r="A12" s="1747" t="s">
        <v>1160</v>
      </c>
      <c r="B12" s="648">
        <v>917</v>
      </c>
      <c r="C12" s="648">
        <v>107</v>
      </c>
      <c r="D12" s="648" t="s">
        <v>142</v>
      </c>
      <c r="E12" s="100"/>
      <c r="F12" s="312">
        <v>100</v>
      </c>
      <c r="G12" s="312"/>
      <c r="H12" s="319">
        <f>SUM(I12:L12)</f>
        <v>0</v>
      </c>
      <c r="I12" s="319">
        <f aca="true" t="shared" si="1" ref="I12:L13">I13</f>
        <v>0</v>
      </c>
      <c r="J12" s="319">
        <f t="shared" si="1"/>
        <v>0</v>
      </c>
      <c r="K12" s="319">
        <f t="shared" si="1"/>
        <v>0</v>
      </c>
      <c r="L12" s="319">
        <f t="shared" si="1"/>
        <v>0</v>
      </c>
    </row>
    <row r="13" spans="1:12" ht="13.5" customHeight="1" hidden="1">
      <c r="A13" s="1078" t="s">
        <v>1016</v>
      </c>
      <c r="B13" s="1550">
        <v>917</v>
      </c>
      <c r="C13" s="1550">
        <v>107</v>
      </c>
      <c r="D13" s="1550" t="s">
        <v>142</v>
      </c>
      <c r="E13" s="1550">
        <v>500</v>
      </c>
      <c r="F13" s="1551">
        <v>121</v>
      </c>
      <c r="G13" s="1551"/>
      <c r="H13" s="1518">
        <f t="shared" si="0"/>
        <v>0</v>
      </c>
      <c r="I13" s="1518">
        <f t="shared" si="1"/>
        <v>0</v>
      </c>
      <c r="J13" s="1518">
        <f t="shared" si="1"/>
        <v>0</v>
      </c>
      <c r="K13" s="1518">
        <f t="shared" si="1"/>
        <v>0</v>
      </c>
      <c r="L13" s="1518">
        <f t="shared" si="1"/>
        <v>0</v>
      </c>
    </row>
    <row r="14" spans="1:14" ht="12.75" hidden="1">
      <c r="A14" s="291" t="s">
        <v>105</v>
      </c>
      <c r="B14" s="298">
        <v>917</v>
      </c>
      <c r="C14" s="298">
        <v>107</v>
      </c>
      <c r="D14" s="298" t="s">
        <v>142</v>
      </c>
      <c r="E14" s="298">
        <v>500</v>
      </c>
      <c r="F14" s="304">
        <v>121</v>
      </c>
      <c r="G14" s="304">
        <v>211</v>
      </c>
      <c r="H14" s="315">
        <f t="shared" si="0"/>
        <v>0</v>
      </c>
      <c r="I14" s="315">
        <v>0</v>
      </c>
      <c r="J14" s="578">
        <v>0</v>
      </c>
      <c r="K14" s="315">
        <v>0</v>
      </c>
      <c r="L14" s="1495">
        <v>0</v>
      </c>
      <c r="M14" s="1541"/>
      <c r="N14" s="38"/>
    </row>
    <row r="15" spans="1:13" ht="12.75" hidden="1">
      <c r="A15" s="310" t="s">
        <v>1158</v>
      </c>
      <c r="B15" s="648">
        <v>917</v>
      </c>
      <c r="C15" s="648">
        <v>107</v>
      </c>
      <c r="D15" s="648" t="s">
        <v>1113</v>
      </c>
      <c r="E15" s="648">
        <v>500</v>
      </c>
      <c r="F15" s="1748">
        <v>200</v>
      </c>
      <c r="G15" s="1748"/>
      <c r="H15" s="639">
        <f>SUM(I15:L15)</f>
        <v>0</v>
      </c>
      <c r="I15" s="639">
        <f>I16</f>
        <v>0</v>
      </c>
      <c r="J15" s="639">
        <f>J16</f>
        <v>0</v>
      </c>
      <c r="K15" s="639">
        <f>K16</f>
        <v>0</v>
      </c>
      <c r="L15" s="639">
        <f>L16</f>
        <v>0</v>
      </c>
      <c r="M15" s="1541"/>
    </row>
    <row r="16" spans="1:13" ht="12.75" hidden="1">
      <c r="A16" s="1078" t="s">
        <v>1002</v>
      </c>
      <c r="B16" s="1085">
        <v>917</v>
      </c>
      <c r="C16" s="1085">
        <v>107</v>
      </c>
      <c r="D16" s="1085" t="s">
        <v>1113</v>
      </c>
      <c r="E16" s="1085">
        <v>500</v>
      </c>
      <c r="F16" s="1079">
        <v>244</v>
      </c>
      <c r="G16" s="1079"/>
      <c r="H16" s="1086">
        <f t="shared" si="0"/>
        <v>0</v>
      </c>
      <c r="I16" s="1086">
        <f>I17+I23</f>
        <v>0</v>
      </c>
      <c r="J16" s="1086">
        <f>J17+J23</f>
        <v>0</v>
      </c>
      <c r="K16" s="1086">
        <f>K17+K23</f>
        <v>0</v>
      </c>
      <c r="L16" s="1086">
        <f>L17+L23</f>
        <v>0</v>
      </c>
      <c r="M16" s="1541"/>
    </row>
    <row r="17" spans="1:12" ht="12.75" hidden="1">
      <c r="A17" s="288" t="s">
        <v>326</v>
      </c>
      <c r="B17" s="97">
        <v>917</v>
      </c>
      <c r="C17" s="97">
        <v>107</v>
      </c>
      <c r="D17" s="97" t="s">
        <v>142</v>
      </c>
      <c r="E17" s="97">
        <v>500</v>
      </c>
      <c r="F17" s="577">
        <v>244</v>
      </c>
      <c r="G17" s="302">
        <v>200</v>
      </c>
      <c r="H17" s="315">
        <f t="shared" si="0"/>
        <v>0</v>
      </c>
      <c r="I17" s="315">
        <f>I18</f>
        <v>0</v>
      </c>
      <c r="J17" s="315">
        <f>J18</f>
        <v>0</v>
      </c>
      <c r="K17" s="315">
        <f>K18</f>
        <v>0</v>
      </c>
      <c r="L17" s="315">
        <f>L18</f>
        <v>0</v>
      </c>
    </row>
    <row r="18" spans="1:12" ht="12.75" hidden="1">
      <c r="A18" s="290" t="s">
        <v>327</v>
      </c>
      <c r="B18" s="297">
        <v>968</v>
      </c>
      <c r="C18" s="297">
        <v>107</v>
      </c>
      <c r="D18" s="297" t="s">
        <v>142</v>
      </c>
      <c r="E18" s="297">
        <v>500</v>
      </c>
      <c r="F18" s="303">
        <v>244</v>
      </c>
      <c r="G18" s="303">
        <v>220</v>
      </c>
      <c r="H18" s="1536">
        <f t="shared" si="0"/>
        <v>0</v>
      </c>
      <c r="I18" s="1536">
        <f>SUM(I19:I22)</f>
        <v>0</v>
      </c>
      <c r="J18" s="1536">
        <f>SUM(J19:J22)</f>
        <v>0</v>
      </c>
      <c r="K18" s="1536">
        <f>SUM(K19:K22)</f>
        <v>0</v>
      </c>
      <c r="L18" s="1537">
        <f>SUM(L19:L22)</f>
        <v>0</v>
      </c>
    </row>
    <row r="19" spans="1:12" ht="12.75" hidden="1">
      <c r="A19" s="291" t="s">
        <v>110</v>
      </c>
      <c r="B19" s="298">
        <v>968</v>
      </c>
      <c r="C19" s="298">
        <v>107</v>
      </c>
      <c r="D19" s="298" t="s">
        <v>142</v>
      </c>
      <c r="E19" s="298">
        <v>500</v>
      </c>
      <c r="F19" s="304">
        <v>244</v>
      </c>
      <c r="G19" s="304">
        <v>221</v>
      </c>
      <c r="H19" s="1536">
        <f t="shared" si="0"/>
        <v>0</v>
      </c>
      <c r="I19" s="1536">
        <v>0</v>
      </c>
      <c r="J19" s="1536">
        <v>0</v>
      </c>
      <c r="K19" s="1536">
        <v>0</v>
      </c>
      <c r="L19" s="1537">
        <v>0</v>
      </c>
    </row>
    <row r="20" spans="1:12" ht="12.75" hidden="1">
      <c r="A20" s="291" t="s">
        <v>111</v>
      </c>
      <c r="B20" s="298">
        <v>968</v>
      </c>
      <c r="C20" s="298">
        <v>107</v>
      </c>
      <c r="D20" s="298" t="s">
        <v>142</v>
      </c>
      <c r="E20" s="298">
        <v>500</v>
      </c>
      <c r="F20" s="304">
        <v>244</v>
      </c>
      <c r="G20" s="304">
        <v>222</v>
      </c>
      <c r="H20" s="1536">
        <f t="shared" si="0"/>
        <v>0</v>
      </c>
      <c r="I20" s="1536">
        <v>0</v>
      </c>
      <c r="J20" s="1536">
        <v>0</v>
      </c>
      <c r="K20" s="1536">
        <v>0</v>
      </c>
      <c r="L20" s="1537">
        <v>0</v>
      </c>
    </row>
    <row r="21" spans="1:12" ht="12.75" hidden="1">
      <c r="A21" s="291" t="s">
        <v>328</v>
      </c>
      <c r="B21" s="298">
        <v>968</v>
      </c>
      <c r="C21" s="298">
        <v>107</v>
      </c>
      <c r="D21" s="298" t="s">
        <v>142</v>
      </c>
      <c r="E21" s="298">
        <v>500</v>
      </c>
      <c r="F21" s="304">
        <v>244</v>
      </c>
      <c r="G21" s="304">
        <v>225</v>
      </c>
      <c r="H21" s="1536">
        <f t="shared" si="0"/>
        <v>0</v>
      </c>
      <c r="I21" s="1536">
        <v>0</v>
      </c>
      <c r="J21" s="1536">
        <v>0</v>
      </c>
      <c r="K21" s="1536">
        <v>0</v>
      </c>
      <c r="L21" s="1537">
        <v>0</v>
      </c>
    </row>
    <row r="22" spans="1:12" ht="12.75" hidden="1">
      <c r="A22" s="291" t="s">
        <v>329</v>
      </c>
      <c r="B22" s="298">
        <v>968</v>
      </c>
      <c r="C22" s="298">
        <v>107</v>
      </c>
      <c r="D22" s="298" t="s">
        <v>142</v>
      </c>
      <c r="E22" s="298">
        <v>500</v>
      </c>
      <c r="F22" s="304">
        <v>244</v>
      </c>
      <c r="G22" s="304">
        <v>226</v>
      </c>
      <c r="H22" s="1536">
        <f t="shared" si="0"/>
        <v>0</v>
      </c>
      <c r="I22" s="1536">
        <v>0</v>
      </c>
      <c r="J22" s="1536">
        <v>0</v>
      </c>
      <c r="K22" s="1536">
        <v>0</v>
      </c>
      <c r="L22" s="1537">
        <v>0</v>
      </c>
    </row>
    <row r="23" spans="1:12" ht="12.75" hidden="1">
      <c r="A23" s="288" t="s">
        <v>330</v>
      </c>
      <c r="B23" s="97">
        <v>917</v>
      </c>
      <c r="C23" s="97">
        <v>107</v>
      </c>
      <c r="D23" s="97" t="s">
        <v>142</v>
      </c>
      <c r="E23" s="97">
        <v>500</v>
      </c>
      <c r="F23" s="577">
        <v>244</v>
      </c>
      <c r="G23" s="302">
        <v>300</v>
      </c>
      <c r="H23" s="1536">
        <f t="shared" si="0"/>
        <v>0</v>
      </c>
      <c r="I23" s="1536">
        <f>SUM(I24:I25)</f>
        <v>0</v>
      </c>
      <c r="J23" s="1536">
        <f>SUM(J24:J25)</f>
        <v>0</v>
      </c>
      <c r="K23" s="1536">
        <f>SUM(K24:K25)</f>
        <v>0</v>
      </c>
      <c r="L23" s="1536">
        <f>SUM(L24:L25)</f>
        <v>0</v>
      </c>
    </row>
    <row r="24" spans="1:12" ht="12.75" hidden="1">
      <c r="A24" s="290" t="s">
        <v>225</v>
      </c>
      <c r="B24" s="297">
        <v>968</v>
      </c>
      <c r="C24" s="297">
        <v>107</v>
      </c>
      <c r="D24" s="297" t="s">
        <v>142</v>
      </c>
      <c r="E24" s="297">
        <v>500</v>
      </c>
      <c r="F24" s="304">
        <v>244</v>
      </c>
      <c r="G24" s="1755">
        <v>310</v>
      </c>
      <c r="H24" s="1536">
        <f>SUM(I24:L24)</f>
        <v>0</v>
      </c>
      <c r="I24" s="1536">
        <v>0</v>
      </c>
      <c r="J24" s="1536">
        <v>0</v>
      </c>
      <c r="K24" s="1536">
        <v>0</v>
      </c>
      <c r="L24" s="1537">
        <v>0</v>
      </c>
    </row>
    <row r="25" spans="1:12" ht="12.75" hidden="1">
      <c r="A25" s="290" t="s">
        <v>226</v>
      </c>
      <c r="B25" s="297">
        <v>968</v>
      </c>
      <c r="C25" s="297">
        <v>107</v>
      </c>
      <c r="D25" s="297" t="s">
        <v>142</v>
      </c>
      <c r="E25" s="297">
        <v>500</v>
      </c>
      <c r="F25" s="304">
        <v>244</v>
      </c>
      <c r="G25" s="304">
        <v>340</v>
      </c>
      <c r="H25" s="1536">
        <f t="shared" si="0"/>
        <v>0</v>
      </c>
      <c r="I25" s="1536">
        <v>0</v>
      </c>
      <c r="J25" s="1536">
        <v>0</v>
      </c>
      <c r="K25" s="1536">
        <v>0</v>
      </c>
      <c r="L25" s="1537">
        <v>0</v>
      </c>
    </row>
    <row r="26" spans="1:12" ht="12.75" hidden="1">
      <c r="A26" s="1545" t="s">
        <v>1115</v>
      </c>
      <c r="B26" s="648">
        <v>917</v>
      </c>
      <c r="C26" s="648">
        <v>107</v>
      </c>
      <c r="D26" s="648" t="s">
        <v>1114</v>
      </c>
      <c r="E26" s="648"/>
      <c r="F26" s="648"/>
      <c r="G26" s="648"/>
      <c r="H26" s="1546">
        <f t="shared" si="0"/>
        <v>0</v>
      </c>
      <c r="I26" s="1546">
        <f aca="true" t="shared" si="2" ref="I26:L28">I27</f>
        <v>0</v>
      </c>
      <c r="J26" s="1546">
        <f t="shared" si="2"/>
        <v>0</v>
      </c>
      <c r="K26" s="1546">
        <f t="shared" si="2"/>
        <v>0</v>
      </c>
      <c r="L26" s="1864">
        <f t="shared" si="2"/>
        <v>0</v>
      </c>
    </row>
    <row r="27" spans="1:12" ht="12.75" hidden="1">
      <c r="A27" s="310" t="s">
        <v>1158</v>
      </c>
      <c r="B27" s="648">
        <v>917</v>
      </c>
      <c r="C27" s="648">
        <v>107</v>
      </c>
      <c r="D27" s="648" t="s">
        <v>1114</v>
      </c>
      <c r="E27" s="648"/>
      <c r="F27" s="648">
        <v>200</v>
      </c>
      <c r="G27" s="648"/>
      <c r="H27" s="1546">
        <f>SUM(I27:L27)</f>
        <v>0</v>
      </c>
      <c r="I27" s="1546">
        <f t="shared" si="2"/>
        <v>0</v>
      </c>
      <c r="J27" s="1546">
        <f t="shared" si="2"/>
        <v>0</v>
      </c>
      <c r="K27" s="1546">
        <f t="shared" si="2"/>
        <v>0</v>
      </c>
      <c r="L27" s="1864">
        <f t="shared" si="2"/>
        <v>0</v>
      </c>
    </row>
    <row r="28" spans="1:12" ht="12.75" hidden="1">
      <c r="A28" s="1078" t="s">
        <v>1002</v>
      </c>
      <c r="B28" s="1085">
        <v>917</v>
      </c>
      <c r="C28" s="1085">
        <v>107</v>
      </c>
      <c r="D28" s="1085" t="s">
        <v>1114</v>
      </c>
      <c r="E28" s="1085"/>
      <c r="F28" s="1085">
        <v>244</v>
      </c>
      <c r="G28" s="1085"/>
      <c r="H28" s="1765">
        <f t="shared" si="0"/>
        <v>0</v>
      </c>
      <c r="I28" s="1765">
        <f t="shared" si="2"/>
        <v>0</v>
      </c>
      <c r="J28" s="1765">
        <f t="shared" si="2"/>
        <v>0</v>
      </c>
      <c r="K28" s="1765">
        <f t="shared" si="2"/>
        <v>0</v>
      </c>
      <c r="L28" s="1865">
        <f t="shared" si="2"/>
        <v>0</v>
      </c>
    </row>
    <row r="29" spans="1:12" ht="13.5" hidden="1" thickBot="1">
      <c r="A29" s="1855" t="s">
        <v>329</v>
      </c>
      <c r="B29" s="1760">
        <v>917</v>
      </c>
      <c r="C29" s="1760">
        <v>107</v>
      </c>
      <c r="D29" s="1760" t="s">
        <v>1114</v>
      </c>
      <c r="E29" s="1760"/>
      <c r="F29" s="1760">
        <v>244</v>
      </c>
      <c r="G29" s="1760">
        <v>226</v>
      </c>
      <c r="H29" s="1856">
        <f t="shared" si="0"/>
        <v>0</v>
      </c>
      <c r="I29" s="1856">
        <v>0</v>
      </c>
      <c r="J29" s="1856">
        <v>0</v>
      </c>
      <c r="K29" s="1856">
        <v>0</v>
      </c>
      <c r="L29" s="1866">
        <v>0</v>
      </c>
    </row>
    <row r="30" spans="1:12" ht="16.5" hidden="1" thickBot="1">
      <c r="A30" s="682" t="s">
        <v>294</v>
      </c>
      <c r="B30" s="803"/>
      <c r="C30" s="803"/>
      <c r="D30" s="803"/>
      <c r="E30" s="803"/>
      <c r="F30" s="803"/>
      <c r="G30" s="1493"/>
      <c r="H30" s="1857">
        <f>H8</f>
        <v>0</v>
      </c>
      <c r="I30" s="1857">
        <f>I8</f>
        <v>0</v>
      </c>
      <c r="J30" s="1857">
        <f>J8</f>
        <v>0</v>
      </c>
      <c r="K30" s="1857">
        <f>K8</f>
        <v>0</v>
      </c>
      <c r="L30" s="1857">
        <f>L8</f>
        <v>0</v>
      </c>
    </row>
    <row r="31" ht="12.75" hidden="1"/>
    <row r="32" spans="1:12" ht="12.75" hidden="1">
      <c r="A32" t="s">
        <v>1232</v>
      </c>
      <c r="I32" s="3188" t="s">
        <v>1233</v>
      </c>
      <c r="J32" s="3188"/>
      <c r="K32" s="3188"/>
      <c r="L32" s="802"/>
    </row>
    <row r="33" spans="1:11" ht="12.75" hidden="1">
      <c r="A33" s="3180"/>
      <c r="B33" s="3180"/>
      <c r="I33" s="3188"/>
      <c r="J33" s="3188"/>
      <c r="K33" s="3188"/>
    </row>
    <row r="34" spans="1:12" ht="22.5" customHeight="1">
      <c r="A34" s="27"/>
      <c r="D34" s="3100" t="s">
        <v>85</v>
      </c>
      <c r="E34" s="3100"/>
      <c r="F34" s="3100"/>
      <c r="G34" s="3100"/>
      <c r="H34" s="3100"/>
      <c r="I34" s="3100"/>
      <c r="J34" s="3100"/>
      <c r="K34" s="3100"/>
      <c r="L34" s="3100"/>
    </row>
    <row r="35" spans="4:12" ht="12.75">
      <c r="D35" s="3100" t="s">
        <v>1329</v>
      </c>
      <c r="E35" s="3100"/>
      <c r="F35" s="3100"/>
      <c r="G35" s="3100"/>
      <c r="H35" s="3100"/>
      <c r="I35" s="3100"/>
      <c r="J35" s="3100"/>
      <c r="K35" s="3100"/>
      <c r="L35" s="3100"/>
    </row>
    <row r="36" spans="4:12" ht="12.75" customHeight="1">
      <c r="D36" s="3100" t="s">
        <v>1340</v>
      </c>
      <c r="E36" s="3100"/>
      <c r="F36" s="3100"/>
      <c r="G36" s="3100"/>
      <c r="H36" s="3100"/>
      <c r="I36" s="3100"/>
      <c r="J36" s="3100"/>
      <c r="K36" s="3100"/>
      <c r="L36" s="3100"/>
    </row>
    <row r="37" spans="4:12" ht="12.75" customHeight="1">
      <c r="D37" s="3100" t="s">
        <v>1365</v>
      </c>
      <c r="E37" s="3100"/>
      <c r="F37" s="3100"/>
      <c r="G37" s="3100"/>
      <c r="H37" s="3100"/>
      <c r="I37" s="3100"/>
      <c r="J37" s="3100"/>
      <c r="K37" s="3100"/>
      <c r="L37" s="3100"/>
    </row>
    <row r="38" spans="4:12" ht="12.75" customHeight="1">
      <c r="D38" s="3100" t="s">
        <v>1366</v>
      </c>
      <c r="E38" s="3100"/>
      <c r="F38" s="3100"/>
      <c r="G38" s="3100"/>
      <c r="H38" s="3100"/>
      <c r="I38" s="3100"/>
      <c r="J38" s="3100"/>
      <c r="K38" s="3100"/>
      <c r="L38" s="3100"/>
    </row>
    <row r="39" spans="4:12" ht="12.75" customHeight="1">
      <c r="D39" s="3100" t="s">
        <v>1381</v>
      </c>
      <c r="E39" s="3100"/>
      <c r="F39" s="3100"/>
      <c r="G39" s="3100"/>
      <c r="H39" s="3100"/>
      <c r="I39" s="3100"/>
      <c r="J39" s="3100"/>
      <c r="K39" s="3100"/>
      <c r="L39" s="3100"/>
    </row>
    <row r="40" spans="4:12" ht="12.75" customHeight="1">
      <c r="D40" s="3100" t="s">
        <v>1395</v>
      </c>
      <c r="E40" s="3100"/>
      <c r="F40" s="3100"/>
      <c r="G40" s="3100"/>
      <c r="H40" s="3100"/>
      <c r="I40" s="3100"/>
      <c r="J40" s="3100"/>
      <c r="K40" s="3100"/>
      <c r="L40" s="3100"/>
    </row>
    <row r="41" spans="4:12" ht="12.75" customHeight="1">
      <c r="D41" s="3100" t="s">
        <v>1405</v>
      </c>
      <c r="E41" s="3100"/>
      <c r="F41" s="3100"/>
      <c r="G41" s="3100"/>
      <c r="H41" s="3100"/>
      <c r="I41" s="3100"/>
      <c r="J41" s="3100"/>
      <c r="K41" s="3100"/>
      <c r="L41" s="3100"/>
    </row>
    <row r="42" spans="4:12" ht="12.75" customHeight="1">
      <c r="D42" s="3100" t="s">
        <v>1406</v>
      </c>
      <c r="E42" s="3100"/>
      <c r="F42" s="3100"/>
      <c r="G42" s="3100"/>
      <c r="H42" s="3100"/>
      <c r="I42" s="3100"/>
      <c r="J42" s="3100"/>
      <c r="K42" s="3100"/>
      <c r="L42" s="3100"/>
    </row>
    <row r="43" spans="4:12" ht="12.75" customHeight="1">
      <c r="D43" s="3100" t="s">
        <v>1408</v>
      </c>
      <c r="E43" s="3100"/>
      <c r="F43" s="3100"/>
      <c r="G43" s="3100"/>
      <c r="H43" s="3100"/>
      <c r="I43" s="3100"/>
      <c r="J43" s="3100"/>
      <c r="K43" s="3100"/>
      <c r="L43" s="3100"/>
    </row>
    <row r="44" spans="4:12" ht="12.75" customHeight="1">
      <c r="D44" s="3100" t="s">
        <v>1412</v>
      </c>
      <c r="E44" s="3100"/>
      <c r="F44" s="3100"/>
      <c r="G44" s="3100"/>
      <c r="H44" s="3100"/>
      <c r="I44" s="3100"/>
      <c r="J44" s="3100"/>
      <c r="K44" s="3100"/>
      <c r="L44" s="3100"/>
    </row>
    <row r="45" spans="4:12" ht="12.75" hidden="1">
      <c r="D45" s="3100"/>
      <c r="E45" s="3100"/>
      <c r="F45" s="3100"/>
      <c r="G45" s="3100"/>
      <c r="H45" s="3100"/>
      <c r="I45" s="3100"/>
      <c r="J45" s="3100"/>
      <c r="K45" s="3100"/>
      <c r="L45" s="3100"/>
    </row>
    <row r="46" spans="4:12" ht="12.75" hidden="1">
      <c r="D46" s="3100"/>
      <c r="E46" s="3100"/>
      <c r="F46" s="3100"/>
      <c r="G46" s="3100"/>
      <c r="H46" s="3100"/>
      <c r="I46" s="3100"/>
      <c r="J46" s="3100"/>
      <c r="K46" s="3100"/>
      <c r="L46" s="3100"/>
    </row>
    <row r="47" spans="4:12" ht="12.75" hidden="1">
      <c r="D47" s="28"/>
      <c r="E47" s="28"/>
      <c r="F47" s="28"/>
      <c r="G47" s="28"/>
      <c r="H47" s="28"/>
      <c r="I47" s="28"/>
      <c r="J47" s="28"/>
      <c r="K47" s="28"/>
      <c r="L47" s="28"/>
    </row>
    <row r="48" spans="1:12" ht="15">
      <c r="A48" s="3185" t="s">
        <v>84</v>
      </c>
      <c r="B48" s="3185"/>
      <c r="C48" s="3185"/>
      <c r="D48" s="3185"/>
      <c r="E48" s="3185"/>
      <c r="F48" s="3185"/>
      <c r="G48" s="3185"/>
      <c r="H48" s="3185"/>
      <c r="I48" s="3185"/>
      <c r="J48" s="3185"/>
      <c r="K48" s="3185"/>
      <c r="L48" s="3185"/>
    </row>
    <row r="49" spans="1:12" ht="15">
      <c r="A49" s="3185" t="s">
        <v>1258</v>
      </c>
      <c r="B49" s="3185"/>
      <c r="C49" s="3185"/>
      <c r="D49" s="3185"/>
      <c r="E49" s="3185"/>
      <c r="F49" s="3185"/>
      <c r="G49" s="3185"/>
      <c r="H49" s="3185"/>
      <c r="I49" s="3185"/>
      <c r="J49" s="3185"/>
      <c r="K49" s="3185"/>
      <c r="L49" s="3185"/>
    </row>
    <row r="50" spans="1:12" ht="15" hidden="1">
      <c r="A50" s="285"/>
      <c r="B50" s="285"/>
      <c r="C50" s="285"/>
      <c r="D50" s="3178" t="s">
        <v>909</v>
      </c>
      <c r="E50" s="3179"/>
      <c r="F50" s="3179"/>
      <c r="G50" s="3179"/>
      <c r="H50" s="3179"/>
      <c r="I50" s="3179"/>
      <c r="J50" s="3179"/>
      <c r="K50" s="3179"/>
      <c r="L50" s="3179"/>
    </row>
    <row r="51" spans="1:12" ht="15" hidden="1">
      <c r="A51" s="285"/>
      <c r="B51" s="285"/>
      <c r="C51" s="285"/>
      <c r="D51" s="3178" t="s">
        <v>925</v>
      </c>
      <c r="E51" s="3179"/>
      <c r="F51" s="3179"/>
      <c r="G51" s="3179"/>
      <c r="H51" s="3179"/>
      <c r="I51" s="3179"/>
      <c r="J51" s="3179"/>
      <c r="K51" s="3179"/>
      <c r="L51" s="3179"/>
    </row>
    <row r="52" spans="1:12" ht="15" hidden="1">
      <c r="A52" s="285"/>
      <c r="B52" s="285"/>
      <c r="C52" s="285"/>
      <c r="D52" s="3178" t="s">
        <v>1231</v>
      </c>
      <c r="E52" s="3179"/>
      <c r="F52" s="3179"/>
      <c r="G52" s="3179"/>
      <c r="H52" s="3179"/>
      <c r="I52" s="3179"/>
      <c r="J52" s="3179"/>
      <c r="K52" s="3179"/>
      <c r="L52" s="3179"/>
    </row>
    <row r="53" spans="1:12" ht="15" hidden="1">
      <c r="A53" s="285"/>
      <c r="B53" s="285"/>
      <c r="C53" s="285"/>
      <c r="D53" s="3178" t="s">
        <v>1248</v>
      </c>
      <c r="E53" s="3179"/>
      <c r="F53" s="3179"/>
      <c r="G53" s="3179"/>
      <c r="H53" s="3179"/>
      <c r="I53" s="3179"/>
      <c r="J53" s="3179"/>
      <c r="K53" s="3179"/>
      <c r="L53" s="3179"/>
    </row>
    <row r="54" spans="1:12" ht="15.75" customHeight="1" thickBot="1">
      <c r="A54" s="3186" t="s">
        <v>218</v>
      </c>
      <c r="B54" s="3186"/>
      <c r="C54" s="3186"/>
      <c r="D54" s="3186"/>
      <c r="E54" s="3186"/>
      <c r="F54" s="3186"/>
      <c r="G54" s="3186"/>
      <c r="H54" s="3186"/>
      <c r="I54" s="3186"/>
      <c r="J54" s="3186"/>
      <c r="K54" s="3186"/>
      <c r="L54" s="3186"/>
    </row>
    <row r="55" spans="1:12" ht="57" thickBot="1">
      <c r="A55" s="292" t="s">
        <v>219</v>
      </c>
      <c r="B55" s="293" t="s">
        <v>444</v>
      </c>
      <c r="C55" s="293" t="s">
        <v>232</v>
      </c>
      <c r="D55" s="293" t="s">
        <v>230</v>
      </c>
      <c r="E55" s="293" t="s">
        <v>101</v>
      </c>
      <c r="F55" s="293" t="s">
        <v>101</v>
      </c>
      <c r="G55" s="299" t="s">
        <v>322</v>
      </c>
      <c r="H55" s="306" t="s">
        <v>268</v>
      </c>
      <c r="I55" s="306" t="s">
        <v>771</v>
      </c>
      <c r="J55" s="461" t="s">
        <v>772</v>
      </c>
      <c r="K55" s="306" t="s">
        <v>760</v>
      </c>
      <c r="L55" s="580" t="s">
        <v>761</v>
      </c>
    </row>
    <row r="56" spans="1:12" ht="13.5" thickBot="1">
      <c r="A56" s="294">
        <v>1</v>
      </c>
      <c r="B56" s="295">
        <v>2</v>
      </c>
      <c r="C56" s="295">
        <v>3</v>
      </c>
      <c r="D56" s="295">
        <v>4</v>
      </c>
      <c r="E56" s="295">
        <v>5</v>
      </c>
      <c r="F56" s="300">
        <v>5</v>
      </c>
      <c r="G56" s="300">
        <v>6</v>
      </c>
      <c r="H56" s="307">
        <v>7</v>
      </c>
      <c r="I56" s="307">
        <v>8</v>
      </c>
      <c r="J56" s="462">
        <v>9</v>
      </c>
      <c r="K56" s="307">
        <v>10</v>
      </c>
      <c r="L56" s="581">
        <v>11</v>
      </c>
    </row>
    <row r="57" spans="1:13" ht="21" customHeight="1" thickBot="1">
      <c r="A57" s="791" t="s">
        <v>82</v>
      </c>
      <c r="B57" s="1517">
        <v>925</v>
      </c>
      <c r="C57" s="792"/>
      <c r="D57" s="792"/>
      <c r="E57" s="792"/>
      <c r="F57" s="793"/>
      <c r="G57" s="793"/>
      <c r="H57" s="573">
        <f>SUM(I57:L57)</f>
        <v>4108.187000000001</v>
      </c>
      <c r="I57" s="573">
        <f>I58</f>
        <v>1193.9920000000002</v>
      </c>
      <c r="J57" s="573">
        <f>J58</f>
        <v>809.5500000000001</v>
      </c>
      <c r="K57" s="573">
        <f>K58</f>
        <v>1305.823</v>
      </c>
      <c r="L57" s="2110">
        <f>L58</f>
        <v>798.822</v>
      </c>
      <c r="M57" s="833"/>
    </row>
    <row r="58" spans="1:13" ht="23.25" customHeight="1" thickBot="1">
      <c r="A58" s="569" t="s">
        <v>102</v>
      </c>
      <c r="B58" s="570">
        <v>925</v>
      </c>
      <c r="C58" s="570">
        <v>100</v>
      </c>
      <c r="D58" s="570"/>
      <c r="E58" s="570"/>
      <c r="F58" s="571"/>
      <c r="G58" s="571"/>
      <c r="H58" s="572">
        <f>SUM(I58:L58)</f>
        <v>4108.187000000001</v>
      </c>
      <c r="I58" s="572">
        <f>I59+I66+I107</f>
        <v>1193.9920000000002</v>
      </c>
      <c r="J58" s="572">
        <f>J59+J66+J107</f>
        <v>809.5500000000001</v>
      </c>
      <c r="K58" s="572">
        <f>K59+K66+K107</f>
        <v>1305.823</v>
      </c>
      <c r="L58" s="572">
        <f>L59+L66+L107</f>
        <v>798.822</v>
      </c>
      <c r="M58" s="833"/>
    </row>
    <row r="59" spans="1:13" ht="30" customHeight="1">
      <c r="A59" s="574" t="s">
        <v>132</v>
      </c>
      <c r="B59" s="566">
        <v>925</v>
      </c>
      <c r="C59" s="566">
        <v>102</v>
      </c>
      <c r="D59" s="566"/>
      <c r="E59" s="566"/>
      <c r="F59" s="567"/>
      <c r="G59" s="567"/>
      <c r="H59" s="1522">
        <f aca="true" t="shared" si="3" ref="H59:L60">H60</f>
        <v>1148.509</v>
      </c>
      <c r="I59" s="1522">
        <f t="shared" si="3"/>
        <v>291.865</v>
      </c>
      <c r="J59" s="1523">
        <f t="shared" si="3"/>
        <v>293.072</v>
      </c>
      <c r="K59" s="1524">
        <f t="shared" si="3"/>
        <v>420.564</v>
      </c>
      <c r="L59" s="1524">
        <f t="shared" si="3"/>
        <v>143.008</v>
      </c>
      <c r="M59" s="833"/>
    </row>
    <row r="60" spans="1:13" ht="18" customHeight="1">
      <c r="A60" s="287" t="s">
        <v>459</v>
      </c>
      <c r="B60" s="107">
        <v>925</v>
      </c>
      <c r="C60" s="107">
        <v>102</v>
      </c>
      <c r="D60" s="107" t="s">
        <v>460</v>
      </c>
      <c r="E60" s="107"/>
      <c r="F60" s="305"/>
      <c r="G60" s="305"/>
      <c r="H60" s="1525">
        <f>SUM(I60:L60)</f>
        <v>1148.509</v>
      </c>
      <c r="I60" s="1525">
        <f>I61</f>
        <v>291.865</v>
      </c>
      <c r="J60" s="1525">
        <f t="shared" si="3"/>
        <v>293.072</v>
      </c>
      <c r="K60" s="1525">
        <f t="shared" si="3"/>
        <v>420.564</v>
      </c>
      <c r="L60" s="1525">
        <f t="shared" si="3"/>
        <v>143.008</v>
      </c>
      <c r="M60" s="833"/>
    </row>
    <row r="61" spans="1:13" ht="36.75" customHeight="1">
      <c r="A61" s="1747" t="s">
        <v>1160</v>
      </c>
      <c r="B61" s="648">
        <v>925</v>
      </c>
      <c r="C61" s="648">
        <v>102</v>
      </c>
      <c r="D61" s="648" t="s">
        <v>460</v>
      </c>
      <c r="E61" s="648"/>
      <c r="F61" s="1748">
        <v>100</v>
      </c>
      <c r="G61" s="1748"/>
      <c r="H61" s="1762">
        <f>SUM(I61:L61)</f>
        <v>1148.509</v>
      </c>
      <c r="I61" s="1762">
        <f>I62</f>
        <v>291.865</v>
      </c>
      <c r="J61" s="1762">
        <f aca="true" t="shared" si="4" ref="J61:L62">J62</f>
        <v>293.072</v>
      </c>
      <c r="K61" s="1762">
        <f t="shared" si="4"/>
        <v>420.564</v>
      </c>
      <c r="L61" s="1762">
        <f t="shared" si="4"/>
        <v>143.008</v>
      </c>
      <c r="M61" s="833"/>
    </row>
    <row r="62" spans="1:13" ht="12.75">
      <c r="A62" s="1078" t="s">
        <v>1016</v>
      </c>
      <c r="B62" s="1085">
        <v>925</v>
      </c>
      <c r="C62" s="1085">
        <v>102</v>
      </c>
      <c r="D62" s="1085" t="s">
        <v>460</v>
      </c>
      <c r="E62" s="1085">
        <v>500</v>
      </c>
      <c r="F62" s="1079">
        <v>121</v>
      </c>
      <c r="G62" s="1079"/>
      <c r="H62" s="1763">
        <f>SUM(I62:L62)</f>
        <v>1148.509</v>
      </c>
      <c r="I62" s="1763">
        <f>I63</f>
        <v>291.865</v>
      </c>
      <c r="J62" s="1764">
        <f t="shared" si="4"/>
        <v>293.072</v>
      </c>
      <c r="K62" s="1763">
        <f t="shared" si="4"/>
        <v>420.564</v>
      </c>
      <c r="L62" s="1763">
        <f t="shared" si="4"/>
        <v>143.008</v>
      </c>
      <c r="M62" s="833"/>
    </row>
    <row r="63" spans="1:13" ht="12.75">
      <c r="A63" s="290" t="s">
        <v>323</v>
      </c>
      <c r="B63" s="297">
        <v>925</v>
      </c>
      <c r="C63" s="297">
        <v>102</v>
      </c>
      <c r="D63" s="297" t="s">
        <v>324</v>
      </c>
      <c r="E63" s="297">
        <v>500</v>
      </c>
      <c r="F63" s="303">
        <v>121</v>
      </c>
      <c r="G63" s="303">
        <v>210</v>
      </c>
      <c r="H63" s="1526">
        <f>SUM(H64:H65)</f>
        <v>1148.509</v>
      </c>
      <c r="I63" s="1526">
        <f>SUM(I64:I65)</f>
        <v>291.865</v>
      </c>
      <c r="J63" s="1527">
        <f>SUM(J64:J65)</f>
        <v>293.072</v>
      </c>
      <c r="K63" s="1526">
        <f>SUM(K64:K65)</f>
        <v>420.564</v>
      </c>
      <c r="L63" s="1526">
        <f>SUM(L64:L65)</f>
        <v>143.008</v>
      </c>
      <c r="M63" s="833">
        <v>1148.5</v>
      </c>
    </row>
    <row r="64" spans="1:13" ht="12.75">
      <c r="A64" s="291" t="s">
        <v>105</v>
      </c>
      <c r="B64" s="298">
        <v>925</v>
      </c>
      <c r="C64" s="298">
        <v>102</v>
      </c>
      <c r="D64" s="298" t="s">
        <v>324</v>
      </c>
      <c r="E64" s="298">
        <v>500</v>
      </c>
      <c r="F64" s="304">
        <v>121</v>
      </c>
      <c r="G64" s="304">
        <v>211</v>
      </c>
      <c r="H64" s="1528">
        <f>SUM(I64:L64)</f>
        <v>905.7850000000001</v>
      </c>
      <c r="I64" s="1528">
        <f>222.032+3.062</f>
        <v>225.09400000000002</v>
      </c>
      <c r="J64" s="1529">
        <f>222.031-3.062+6.125</f>
        <v>225.094</v>
      </c>
      <c r="K64" s="1530">
        <f>222.031-6.125+115.66</f>
        <v>331.56600000000003</v>
      </c>
      <c r="L64" s="1528">
        <f>222.031-115.66+17.66</f>
        <v>124.031</v>
      </c>
      <c r="M64" s="833">
        <v>905.8</v>
      </c>
    </row>
    <row r="65" spans="1:13" ht="14.25" customHeight="1">
      <c r="A65" s="291" t="s">
        <v>325</v>
      </c>
      <c r="B65" s="298">
        <v>925</v>
      </c>
      <c r="C65" s="298">
        <v>102</v>
      </c>
      <c r="D65" s="298" t="s">
        <v>324</v>
      </c>
      <c r="E65" s="298">
        <v>500</v>
      </c>
      <c r="F65" s="304">
        <v>121</v>
      </c>
      <c r="G65" s="304">
        <v>213</v>
      </c>
      <c r="H65" s="1528">
        <f>SUM(I65:L65)</f>
        <v>242.724</v>
      </c>
      <c r="I65" s="1528">
        <f>67.053-0.282</f>
        <v>66.771</v>
      </c>
      <c r="J65" s="1531">
        <f>67.053+0.282+0.643</f>
        <v>67.978</v>
      </c>
      <c r="K65" s="1528">
        <f>67.053-0.643+22.588</f>
        <v>88.99799999999999</v>
      </c>
      <c r="L65" s="1528">
        <f>27.95+0.4-22.588+11.124+2.091</f>
        <v>18.976999999999997</v>
      </c>
      <c r="M65" s="833">
        <v>242.7</v>
      </c>
    </row>
    <row r="66" spans="1:13" ht="45.75" customHeight="1">
      <c r="A66" s="311" t="s">
        <v>858</v>
      </c>
      <c r="B66" s="296">
        <v>925</v>
      </c>
      <c r="C66" s="296">
        <v>103</v>
      </c>
      <c r="D66" s="296"/>
      <c r="E66" s="296"/>
      <c r="F66" s="301"/>
      <c r="G66" s="301"/>
      <c r="H66" s="318">
        <f>H67+H82</f>
        <v>2959.678</v>
      </c>
      <c r="I66" s="318">
        <f>I67+I82</f>
        <v>902.1270000000001</v>
      </c>
      <c r="J66" s="1494">
        <f>J67+J82</f>
        <v>516.4780000000001</v>
      </c>
      <c r="K66" s="318">
        <f>K67+K82</f>
        <v>885.259</v>
      </c>
      <c r="L66" s="318">
        <f>L67+L82</f>
        <v>655.814</v>
      </c>
      <c r="M66" s="833">
        <v>2959.7</v>
      </c>
    </row>
    <row r="67" spans="1:13" ht="25.5" customHeight="1">
      <c r="A67" s="287" t="s">
        <v>478</v>
      </c>
      <c r="B67" s="107">
        <v>925</v>
      </c>
      <c r="C67" s="107">
        <v>103</v>
      </c>
      <c r="D67" s="107" t="s">
        <v>45</v>
      </c>
      <c r="E67" s="107"/>
      <c r="F67" s="305"/>
      <c r="G67" s="305"/>
      <c r="H67" s="316">
        <f>H68+H77</f>
        <v>1353.225</v>
      </c>
      <c r="I67" s="316">
        <f>I68+I77</f>
        <v>311.12300000000005</v>
      </c>
      <c r="J67" s="579">
        <f>J68+J77</f>
        <v>312.331</v>
      </c>
      <c r="K67" s="316">
        <f>K68+K77</f>
        <v>281.794</v>
      </c>
      <c r="L67" s="316">
        <f>L68+L77</f>
        <v>447.977</v>
      </c>
      <c r="M67" s="833">
        <v>1353.2</v>
      </c>
    </row>
    <row r="68" spans="1:13" ht="25.5" customHeight="1">
      <c r="A68" s="288" t="s">
        <v>46</v>
      </c>
      <c r="B68" s="647">
        <v>925</v>
      </c>
      <c r="C68" s="647">
        <v>103</v>
      </c>
      <c r="D68" s="647" t="s">
        <v>47</v>
      </c>
      <c r="E68" s="647"/>
      <c r="F68" s="649"/>
      <c r="G68" s="649"/>
      <c r="H68" s="316">
        <f>H70</f>
        <v>1088.625</v>
      </c>
      <c r="I68" s="316">
        <f aca="true" t="shared" si="5" ref="I68:L70">I69</f>
        <v>244.973</v>
      </c>
      <c r="J68" s="316">
        <f t="shared" si="5"/>
        <v>246.181</v>
      </c>
      <c r="K68" s="316">
        <f t="shared" si="5"/>
        <v>245.04399999999998</v>
      </c>
      <c r="L68" s="316">
        <f t="shared" si="5"/>
        <v>352.42699999999996</v>
      </c>
      <c r="M68" s="833"/>
    </row>
    <row r="69" spans="1:13" ht="37.5" customHeight="1">
      <c r="A69" s="1747" t="s">
        <v>1160</v>
      </c>
      <c r="B69" s="648">
        <v>925</v>
      </c>
      <c r="C69" s="648">
        <v>103</v>
      </c>
      <c r="D69" s="648" t="s">
        <v>47</v>
      </c>
      <c r="E69" s="648"/>
      <c r="F69" s="1748">
        <v>100</v>
      </c>
      <c r="G69" s="1748"/>
      <c r="H69" s="319">
        <f>SUM(I69:L69)</f>
        <v>1088.625</v>
      </c>
      <c r="I69" s="319">
        <f t="shared" si="5"/>
        <v>244.973</v>
      </c>
      <c r="J69" s="319">
        <f t="shared" si="5"/>
        <v>246.181</v>
      </c>
      <c r="K69" s="319">
        <f t="shared" si="5"/>
        <v>245.04399999999998</v>
      </c>
      <c r="L69" s="319">
        <f t="shared" si="5"/>
        <v>352.42699999999996</v>
      </c>
      <c r="M69" s="833"/>
    </row>
    <row r="70" spans="1:13" ht="12.75">
      <c r="A70" s="1078" t="s">
        <v>1016</v>
      </c>
      <c r="B70" s="1085">
        <v>925</v>
      </c>
      <c r="C70" s="1085">
        <v>103</v>
      </c>
      <c r="D70" s="1085" t="s">
        <v>47</v>
      </c>
      <c r="E70" s="1085">
        <v>500</v>
      </c>
      <c r="F70" s="1079">
        <v>121</v>
      </c>
      <c r="G70" s="1079"/>
      <c r="H70" s="1518">
        <f>H71</f>
        <v>1088.625</v>
      </c>
      <c r="I70" s="1518">
        <f t="shared" si="5"/>
        <v>244.973</v>
      </c>
      <c r="J70" s="1520">
        <f t="shared" si="5"/>
        <v>246.181</v>
      </c>
      <c r="K70" s="1518">
        <f t="shared" si="5"/>
        <v>245.04399999999998</v>
      </c>
      <c r="L70" s="1518">
        <f t="shared" si="5"/>
        <v>352.42699999999996</v>
      </c>
      <c r="M70" s="833"/>
    </row>
    <row r="71" spans="1:13" ht="12.75">
      <c r="A71" s="288" t="s">
        <v>326</v>
      </c>
      <c r="B71" s="97">
        <v>925</v>
      </c>
      <c r="C71" s="97">
        <v>103</v>
      </c>
      <c r="D71" s="97" t="s">
        <v>48</v>
      </c>
      <c r="E71" s="97">
        <v>500</v>
      </c>
      <c r="F71" s="302">
        <v>121</v>
      </c>
      <c r="G71" s="302">
        <v>200</v>
      </c>
      <c r="H71" s="560">
        <f>H72+H75</f>
        <v>1088.625</v>
      </c>
      <c r="I71" s="560">
        <f>I72+I75</f>
        <v>244.973</v>
      </c>
      <c r="J71" s="1521">
        <f>J72+J75</f>
        <v>246.181</v>
      </c>
      <c r="K71" s="560">
        <f>K72+K75</f>
        <v>245.04399999999998</v>
      </c>
      <c r="L71" s="560">
        <f>L72+L75</f>
        <v>352.42699999999996</v>
      </c>
      <c r="M71" s="833"/>
    </row>
    <row r="72" spans="1:13" ht="12.75">
      <c r="A72" s="290" t="s">
        <v>323</v>
      </c>
      <c r="B72" s="297">
        <v>925</v>
      </c>
      <c r="C72" s="297">
        <v>103</v>
      </c>
      <c r="D72" s="297" t="s">
        <v>48</v>
      </c>
      <c r="E72" s="297">
        <v>500</v>
      </c>
      <c r="F72" s="303">
        <v>121</v>
      </c>
      <c r="G72" s="303">
        <v>210</v>
      </c>
      <c r="H72" s="317">
        <f>SUM(H73:H74)</f>
        <v>1088.625</v>
      </c>
      <c r="I72" s="317">
        <f>SUM(I73:I74)</f>
        <v>244.973</v>
      </c>
      <c r="J72" s="2166">
        <f>SUM(J73:J74)</f>
        <v>246.181</v>
      </c>
      <c r="K72" s="317">
        <f>SUM(K73:K74)</f>
        <v>245.04399999999998</v>
      </c>
      <c r="L72" s="317">
        <f>SUM(L73:L74)</f>
        <v>352.42699999999996</v>
      </c>
      <c r="M72" s="833">
        <v>1088.6</v>
      </c>
    </row>
    <row r="73" spans="1:13" ht="12.75">
      <c r="A73" s="291" t="s">
        <v>105</v>
      </c>
      <c r="B73" s="298">
        <v>925</v>
      </c>
      <c r="C73" s="298">
        <v>103</v>
      </c>
      <c r="D73" s="298" t="s">
        <v>48</v>
      </c>
      <c r="E73" s="298">
        <v>500</v>
      </c>
      <c r="F73" s="304">
        <v>121</v>
      </c>
      <c r="G73" s="304">
        <v>211</v>
      </c>
      <c r="H73" s="315">
        <f>SUM(I73:L73)</f>
        <v>853.848</v>
      </c>
      <c r="I73" s="315">
        <f>186.507+2.572</f>
        <v>189.079</v>
      </c>
      <c r="J73" s="2167">
        <f>186.506-2.572+5.145</f>
        <v>189.079</v>
      </c>
      <c r="K73" s="309">
        <f>186.506-5.145+6.845</f>
        <v>188.206</v>
      </c>
      <c r="L73" s="309">
        <f>186.506-6.845+107.823</f>
        <v>287.484</v>
      </c>
      <c r="M73" s="833">
        <v>853.8</v>
      </c>
    </row>
    <row r="74" spans="1:13" ht="16.5" customHeight="1">
      <c r="A74" s="291" t="s">
        <v>325</v>
      </c>
      <c r="B74" s="298">
        <v>925</v>
      </c>
      <c r="C74" s="298">
        <v>103</v>
      </c>
      <c r="D74" s="298" t="s">
        <v>48</v>
      </c>
      <c r="E74" s="298">
        <v>500</v>
      </c>
      <c r="F74" s="304">
        <v>121</v>
      </c>
      <c r="G74" s="304">
        <v>213</v>
      </c>
      <c r="H74" s="315">
        <f>SUM(I74:L74)</f>
        <v>234.777</v>
      </c>
      <c r="I74" s="309">
        <f>56.325-0.431</f>
        <v>55.894000000000005</v>
      </c>
      <c r="J74" s="2167">
        <f>56.325+0.431+0.346</f>
        <v>57.102</v>
      </c>
      <c r="K74" s="309">
        <f>56.325-0.346+0.859</f>
        <v>56.83800000000001</v>
      </c>
      <c r="L74" s="309">
        <f>45.64+0.4-0.859+3.877+15.885</f>
        <v>64.943</v>
      </c>
      <c r="M74" s="833">
        <v>234.8</v>
      </c>
    </row>
    <row r="75" spans="1:13" ht="16.5" customHeight="1" hidden="1">
      <c r="A75" s="290" t="s">
        <v>327</v>
      </c>
      <c r="B75" s="297">
        <v>925</v>
      </c>
      <c r="C75" s="297">
        <v>103</v>
      </c>
      <c r="D75" s="297" t="s">
        <v>48</v>
      </c>
      <c r="E75" s="297">
        <v>500</v>
      </c>
      <c r="F75" s="303"/>
      <c r="G75" s="303">
        <v>220</v>
      </c>
      <c r="H75" s="317">
        <f>H76</f>
        <v>0</v>
      </c>
      <c r="I75" s="317">
        <f>I76</f>
        <v>0</v>
      </c>
      <c r="J75" s="2166">
        <f>J76</f>
        <v>0</v>
      </c>
      <c r="K75" s="317">
        <f>K76</f>
        <v>0</v>
      </c>
      <c r="L75" s="317">
        <f>L76</f>
        <v>0</v>
      </c>
      <c r="M75" s="833"/>
    </row>
    <row r="76" spans="1:13" ht="16.5" customHeight="1" hidden="1">
      <c r="A76" s="291" t="s">
        <v>329</v>
      </c>
      <c r="B76" s="298">
        <v>925</v>
      </c>
      <c r="C76" s="298">
        <v>103</v>
      </c>
      <c r="D76" s="298" t="s">
        <v>48</v>
      </c>
      <c r="E76" s="298">
        <v>500</v>
      </c>
      <c r="F76" s="304"/>
      <c r="G76" s="304">
        <v>226</v>
      </c>
      <c r="H76" s="315">
        <f>SUM(I76:L76)</f>
        <v>0</v>
      </c>
      <c r="I76" s="315">
        <v>0</v>
      </c>
      <c r="J76" s="578">
        <v>0</v>
      </c>
      <c r="K76" s="315">
        <v>0</v>
      </c>
      <c r="L76" s="315">
        <v>0</v>
      </c>
      <c r="M76" s="833"/>
    </row>
    <row r="77" spans="1:13" ht="26.25" customHeight="1">
      <c r="A77" s="288" t="s">
        <v>935</v>
      </c>
      <c r="B77" s="647">
        <v>925</v>
      </c>
      <c r="C77" s="647">
        <v>103</v>
      </c>
      <c r="D77" s="647" t="s">
        <v>49</v>
      </c>
      <c r="E77" s="647"/>
      <c r="F77" s="1761"/>
      <c r="G77" s="649"/>
      <c r="H77" s="316">
        <f>H79</f>
        <v>264.6</v>
      </c>
      <c r="I77" s="316">
        <f aca="true" t="shared" si="6" ref="I77:L78">I78</f>
        <v>66.15</v>
      </c>
      <c r="J77" s="316">
        <f t="shared" si="6"/>
        <v>66.15</v>
      </c>
      <c r="K77" s="316">
        <f t="shared" si="6"/>
        <v>36.75000000000001</v>
      </c>
      <c r="L77" s="316">
        <f t="shared" si="6"/>
        <v>95.55000000000001</v>
      </c>
      <c r="M77" s="833"/>
    </row>
    <row r="78" spans="1:13" ht="42.75" customHeight="1">
      <c r="A78" s="1747" t="s">
        <v>1160</v>
      </c>
      <c r="B78" s="648">
        <v>925</v>
      </c>
      <c r="C78" s="648">
        <v>103</v>
      </c>
      <c r="D78" s="648" t="s">
        <v>49</v>
      </c>
      <c r="E78" s="648"/>
      <c r="F78" s="1748">
        <v>100</v>
      </c>
      <c r="G78" s="1748"/>
      <c r="H78" s="319">
        <f>SUM(I78:L78)</f>
        <v>264.6</v>
      </c>
      <c r="I78" s="319">
        <f t="shared" si="6"/>
        <v>66.15</v>
      </c>
      <c r="J78" s="319">
        <f t="shared" si="6"/>
        <v>66.15</v>
      </c>
      <c r="K78" s="319">
        <f t="shared" si="6"/>
        <v>36.75000000000001</v>
      </c>
      <c r="L78" s="319">
        <f t="shared" si="6"/>
        <v>95.55000000000001</v>
      </c>
      <c r="M78" s="833"/>
    </row>
    <row r="79" spans="1:13" ht="36">
      <c r="A79" s="1078" t="s">
        <v>1157</v>
      </c>
      <c r="B79" s="1085">
        <v>925</v>
      </c>
      <c r="C79" s="1085">
        <v>103</v>
      </c>
      <c r="D79" s="1085" t="s">
        <v>49</v>
      </c>
      <c r="E79" s="1085">
        <v>500</v>
      </c>
      <c r="F79" s="1079">
        <f>F80</f>
        <v>123</v>
      </c>
      <c r="G79" s="1079"/>
      <c r="H79" s="1518">
        <f aca="true" t="shared" si="7" ref="H79:L80">H80</f>
        <v>264.6</v>
      </c>
      <c r="I79" s="1518">
        <f t="shared" si="7"/>
        <v>66.15</v>
      </c>
      <c r="J79" s="1520">
        <f t="shared" si="7"/>
        <v>66.15</v>
      </c>
      <c r="K79" s="1518">
        <f t="shared" si="7"/>
        <v>36.75000000000001</v>
      </c>
      <c r="L79" s="1518">
        <f t="shared" si="7"/>
        <v>95.55000000000001</v>
      </c>
      <c r="M79" s="833"/>
    </row>
    <row r="80" spans="1:13" ht="12.75">
      <c r="A80" s="290" t="s">
        <v>327</v>
      </c>
      <c r="B80" s="297">
        <v>925</v>
      </c>
      <c r="C80" s="297">
        <v>103</v>
      </c>
      <c r="D80" s="297" t="s">
        <v>50</v>
      </c>
      <c r="E80" s="297">
        <v>500</v>
      </c>
      <c r="F80" s="303">
        <f>F81</f>
        <v>123</v>
      </c>
      <c r="G80" s="303">
        <v>220</v>
      </c>
      <c r="H80" s="317">
        <f t="shared" si="7"/>
        <v>264.6</v>
      </c>
      <c r="I80" s="317">
        <f t="shared" si="7"/>
        <v>66.15</v>
      </c>
      <c r="J80" s="2166">
        <f t="shared" si="7"/>
        <v>66.15</v>
      </c>
      <c r="K80" s="317">
        <f t="shared" si="7"/>
        <v>36.75000000000001</v>
      </c>
      <c r="L80" s="317">
        <f t="shared" si="7"/>
        <v>95.55000000000001</v>
      </c>
      <c r="M80" s="833"/>
    </row>
    <row r="81" spans="1:13" ht="12.75">
      <c r="A81" s="291" t="s">
        <v>329</v>
      </c>
      <c r="B81" s="298">
        <v>925</v>
      </c>
      <c r="C81" s="298">
        <v>103</v>
      </c>
      <c r="D81" s="298" t="s">
        <v>50</v>
      </c>
      <c r="E81" s="298">
        <v>500</v>
      </c>
      <c r="F81" s="304">
        <v>123</v>
      </c>
      <c r="G81" s="304">
        <v>226</v>
      </c>
      <c r="H81" s="315">
        <f>SUM(I81:L81)</f>
        <v>264.6</v>
      </c>
      <c r="I81" s="315">
        <v>66.15</v>
      </c>
      <c r="J81" s="578">
        <v>66.15</v>
      </c>
      <c r="K81" s="315">
        <f>66.15-29.4</f>
        <v>36.75000000000001</v>
      </c>
      <c r="L81" s="315">
        <f>66.15+29.4</f>
        <v>95.55000000000001</v>
      </c>
      <c r="M81" s="833">
        <v>264.6</v>
      </c>
    </row>
    <row r="82" spans="1:13" ht="14.25" customHeight="1">
      <c r="A82" s="287" t="s">
        <v>44</v>
      </c>
      <c r="B82" s="107">
        <v>925</v>
      </c>
      <c r="C82" s="107">
        <v>103</v>
      </c>
      <c r="D82" s="107" t="s">
        <v>475</v>
      </c>
      <c r="E82" s="107"/>
      <c r="F82" s="305"/>
      <c r="G82" s="305"/>
      <c r="H82" s="316">
        <f>SUM(I82:L82)</f>
        <v>1606.453</v>
      </c>
      <c r="I82" s="316">
        <f>I83+I89+I103</f>
        <v>591.004</v>
      </c>
      <c r="J82" s="316">
        <f>J83+J89+J103</f>
        <v>204.147</v>
      </c>
      <c r="K82" s="316">
        <f>K83+K89+K103</f>
        <v>603.465</v>
      </c>
      <c r="L82" s="316">
        <f>L83+L89+L103</f>
        <v>207.837</v>
      </c>
      <c r="M82" s="833">
        <v>1606.5</v>
      </c>
    </row>
    <row r="83" spans="1:13" ht="42.75" customHeight="1">
      <c r="A83" s="1747" t="s">
        <v>1160</v>
      </c>
      <c r="B83" s="648">
        <v>925</v>
      </c>
      <c r="C83" s="648">
        <v>103</v>
      </c>
      <c r="D83" s="648" t="s">
        <v>475</v>
      </c>
      <c r="E83" s="648"/>
      <c r="F83" s="1748">
        <v>100</v>
      </c>
      <c r="G83" s="1748"/>
      <c r="H83" s="319">
        <f>SUM(I83:L83)</f>
        <v>674.219</v>
      </c>
      <c r="I83" s="319">
        <f>I84</f>
        <v>201.014</v>
      </c>
      <c r="J83" s="319">
        <f>J84</f>
        <v>171.575</v>
      </c>
      <c r="K83" s="319">
        <f>K84</f>
        <v>130.03400000000002</v>
      </c>
      <c r="L83" s="319">
        <f>L84</f>
        <v>171.596</v>
      </c>
      <c r="M83" s="833">
        <v>674.2</v>
      </c>
    </row>
    <row r="84" spans="1:13" ht="12.75">
      <c r="A84" s="1078" t="s">
        <v>1016</v>
      </c>
      <c r="B84" s="1085">
        <v>925</v>
      </c>
      <c r="C84" s="1085">
        <v>103</v>
      </c>
      <c r="D84" s="1085" t="s">
        <v>475</v>
      </c>
      <c r="E84" s="1085">
        <v>500</v>
      </c>
      <c r="F84" s="1079">
        <v>121</v>
      </c>
      <c r="G84" s="1082"/>
      <c r="H84" s="1518">
        <f aca="true" t="shared" si="8" ref="H84:L85">H85</f>
        <v>674.2189999999999</v>
      </c>
      <c r="I84" s="1518">
        <f t="shared" si="8"/>
        <v>201.014</v>
      </c>
      <c r="J84" s="1520">
        <f t="shared" si="8"/>
        <v>171.575</v>
      </c>
      <c r="K84" s="1518">
        <f t="shared" si="8"/>
        <v>130.03400000000002</v>
      </c>
      <c r="L84" s="1518">
        <f t="shared" si="8"/>
        <v>171.596</v>
      </c>
      <c r="M84" s="833"/>
    </row>
    <row r="85" spans="1:13" ht="12.75">
      <c r="A85" s="288" t="s">
        <v>326</v>
      </c>
      <c r="B85" s="97">
        <v>925</v>
      </c>
      <c r="C85" s="97">
        <v>103</v>
      </c>
      <c r="D85" s="97" t="s">
        <v>1018</v>
      </c>
      <c r="E85" s="97">
        <v>500</v>
      </c>
      <c r="F85" s="302">
        <v>121</v>
      </c>
      <c r="G85" s="302">
        <v>200</v>
      </c>
      <c r="H85" s="560">
        <f>H86</f>
        <v>674.2189999999999</v>
      </c>
      <c r="I85" s="560">
        <f t="shared" si="8"/>
        <v>201.014</v>
      </c>
      <c r="J85" s="1521">
        <f t="shared" si="8"/>
        <v>171.575</v>
      </c>
      <c r="K85" s="560">
        <f t="shared" si="8"/>
        <v>130.03400000000002</v>
      </c>
      <c r="L85" s="560">
        <f t="shared" si="8"/>
        <v>171.596</v>
      </c>
      <c r="M85" s="833"/>
    </row>
    <row r="86" spans="1:13" ht="12.75">
      <c r="A86" s="290" t="s">
        <v>323</v>
      </c>
      <c r="B86" s="297">
        <v>925</v>
      </c>
      <c r="C86" s="297">
        <v>103</v>
      </c>
      <c r="D86" s="297" t="s">
        <v>1018</v>
      </c>
      <c r="E86" s="297">
        <v>500</v>
      </c>
      <c r="F86" s="303">
        <v>121</v>
      </c>
      <c r="G86" s="303">
        <v>210</v>
      </c>
      <c r="H86" s="308">
        <f>SUM(H87:H88)</f>
        <v>674.2189999999999</v>
      </c>
      <c r="I86" s="308">
        <f>SUM(I87:I88)</f>
        <v>201.014</v>
      </c>
      <c r="J86" s="2168">
        <f>SUM(J87:J88)</f>
        <v>171.575</v>
      </c>
      <c r="K86" s="308">
        <f>SUM(K87:K88)</f>
        <v>130.03400000000002</v>
      </c>
      <c r="L86" s="308">
        <f>SUM(L87:L88)</f>
        <v>171.596</v>
      </c>
      <c r="M86" s="833"/>
    </row>
    <row r="87" spans="1:13" ht="12.75">
      <c r="A87" s="291" t="s">
        <v>105</v>
      </c>
      <c r="B87" s="298">
        <v>925</v>
      </c>
      <c r="C87" s="298">
        <v>103</v>
      </c>
      <c r="D87" s="298" t="s">
        <v>1018</v>
      </c>
      <c r="E87" s="298">
        <v>500</v>
      </c>
      <c r="F87" s="304">
        <v>121</v>
      </c>
      <c r="G87" s="304">
        <v>211</v>
      </c>
      <c r="H87" s="315">
        <f>SUM(I87:L87)</f>
        <v>519.4449999999999</v>
      </c>
      <c r="I87" s="309">
        <f>171.807-5.921-9.642</f>
        <v>156.244</v>
      </c>
      <c r="J87" s="2167">
        <f>171.806-17.763+9.642-31.907</f>
        <v>131.778</v>
      </c>
      <c r="K87" s="309">
        <f>171.806-17.762+31.907-86.078</f>
        <v>99.87300000000002</v>
      </c>
      <c r="L87" s="315">
        <f>171.806-17.762+86.078-108.572</f>
        <v>131.55</v>
      </c>
      <c r="M87" s="833">
        <v>519.4</v>
      </c>
    </row>
    <row r="88" spans="1:13" ht="13.5" customHeight="1">
      <c r="A88" s="291" t="s">
        <v>325</v>
      </c>
      <c r="B88" s="298">
        <v>925</v>
      </c>
      <c r="C88" s="298">
        <v>103</v>
      </c>
      <c r="D88" s="298" t="s">
        <v>1018</v>
      </c>
      <c r="E88" s="298">
        <v>500</v>
      </c>
      <c r="F88" s="304">
        <v>121</v>
      </c>
      <c r="G88" s="304">
        <v>213</v>
      </c>
      <c r="H88" s="315">
        <f>SUM(I88:L88)</f>
        <v>154.774</v>
      </c>
      <c r="I88" s="315">
        <f>51.886-1.788-5.328</f>
        <v>44.77</v>
      </c>
      <c r="J88" s="578">
        <f>51.885-5.364+5.328-12.052</f>
        <v>39.797000000000004</v>
      </c>
      <c r="K88" s="315">
        <f>51.886-5.365+12.052-28.412</f>
        <v>30.161</v>
      </c>
      <c r="L88" s="315">
        <f>51.885-5.364+28.412-34.887</f>
        <v>40.04599999999999</v>
      </c>
      <c r="M88" s="833">
        <v>154.8</v>
      </c>
    </row>
    <row r="89" spans="1:13" ht="13.5" customHeight="1">
      <c r="A89" s="310" t="s">
        <v>1158</v>
      </c>
      <c r="B89" s="648">
        <v>925</v>
      </c>
      <c r="C89" s="648">
        <v>103</v>
      </c>
      <c r="D89" s="648" t="s">
        <v>1018</v>
      </c>
      <c r="E89" s="648">
        <v>500</v>
      </c>
      <c r="F89" s="1748">
        <v>200</v>
      </c>
      <c r="G89" s="1748"/>
      <c r="H89" s="2169">
        <f>SUM(I89:L89)</f>
        <v>932.234</v>
      </c>
      <c r="I89" s="2169">
        <f>I90+I94</f>
        <v>389.99</v>
      </c>
      <c r="J89" s="2169">
        <f>J90+J94</f>
        <v>32.57200000000002</v>
      </c>
      <c r="K89" s="2169">
        <f>K90+K94</f>
        <v>473.43100000000004</v>
      </c>
      <c r="L89" s="2169">
        <f>L90+L94</f>
        <v>36.241</v>
      </c>
      <c r="M89" s="833">
        <v>932.3</v>
      </c>
    </row>
    <row r="90" spans="1:13" ht="13.5" customHeight="1">
      <c r="A90" s="1078" t="s">
        <v>1002</v>
      </c>
      <c r="B90" s="1085">
        <v>925</v>
      </c>
      <c r="C90" s="1085">
        <v>103</v>
      </c>
      <c r="D90" s="1085" t="s">
        <v>1018</v>
      </c>
      <c r="E90" s="1085">
        <v>500</v>
      </c>
      <c r="F90" s="1079">
        <v>242</v>
      </c>
      <c r="G90" s="1079"/>
      <c r="H90" s="2170">
        <f>SUM(I90:L90)</f>
        <v>11.6</v>
      </c>
      <c r="I90" s="2170">
        <f aca="true" t="shared" si="9" ref="I90:L92">I91</f>
        <v>0</v>
      </c>
      <c r="J90" s="2170">
        <f t="shared" si="9"/>
        <v>0</v>
      </c>
      <c r="K90" s="2170">
        <f t="shared" si="9"/>
        <v>0</v>
      </c>
      <c r="L90" s="2170">
        <f t="shared" si="9"/>
        <v>11.6</v>
      </c>
      <c r="M90" s="833">
        <v>11.6</v>
      </c>
    </row>
    <row r="91" spans="1:13" ht="13.5" customHeight="1">
      <c r="A91" s="288" t="s">
        <v>326</v>
      </c>
      <c r="B91" s="1083">
        <v>925</v>
      </c>
      <c r="C91" s="1083">
        <v>103</v>
      </c>
      <c r="D91" s="97" t="s">
        <v>1018</v>
      </c>
      <c r="E91" s="1083">
        <v>500</v>
      </c>
      <c r="F91" s="1084">
        <v>242</v>
      </c>
      <c r="G91" s="1084">
        <v>200</v>
      </c>
      <c r="H91" s="2171">
        <f>H92</f>
        <v>11.6</v>
      </c>
      <c r="I91" s="2171">
        <f t="shared" si="9"/>
        <v>0</v>
      </c>
      <c r="J91" s="2172">
        <f t="shared" si="9"/>
        <v>0</v>
      </c>
      <c r="K91" s="2171">
        <f t="shared" si="9"/>
        <v>0</v>
      </c>
      <c r="L91" s="2171">
        <f t="shared" si="9"/>
        <v>11.6</v>
      </c>
      <c r="M91" s="833"/>
    </row>
    <row r="92" spans="1:13" ht="13.5" customHeight="1">
      <c r="A92" s="290" t="s">
        <v>327</v>
      </c>
      <c r="B92" s="297">
        <v>925</v>
      </c>
      <c r="C92" s="297">
        <v>103</v>
      </c>
      <c r="D92" s="297" t="s">
        <v>1018</v>
      </c>
      <c r="E92" s="297">
        <v>500</v>
      </c>
      <c r="F92" s="303">
        <v>242</v>
      </c>
      <c r="G92" s="303">
        <v>220</v>
      </c>
      <c r="H92" s="770">
        <f>SUM(I92:L92)</f>
        <v>11.6</v>
      </c>
      <c r="I92" s="770">
        <f t="shared" si="9"/>
        <v>0</v>
      </c>
      <c r="J92" s="770">
        <f t="shared" si="9"/>
        <v>0</v>
      </c>
      <c r="K92" s="770">
        <f t="shared" si="9"/>
        <v>0</v>
      </c>
      <c r="L92" s="770">
        <f t="shared" si="9"/>
        <v>11.6</v>
      </c>
      <c r="M92" s="833"/>
    </row>
    <row r="93" spans="1:13" ht="13.5" customHeight="1">
      <c r="A93" s="291" t="s">
        <v>329</v>
      </c>
      <c r="B93" s="298">
        <v>925</v>
      </c>
      <c r="C93" s="298">
        <v>103</v>
      </c>
      <c r="D93" s="298" t="s">
        <v>1018</v>
      </c>
      <c r="E93" s="298">
        <v>500</v>
      </c>
      <c r="F93" s="304">
        <v>242</v>
      </c>
      <c r="G93" s="304">
        <v>226</v>
      </c>
      <c r="H93" s="465">
        <f>SUM(I93:L93)</f>
        <v>11.6</v>
      </c>
      <c r="I93" s="465">
        <v>0</v>
      </c>
      <c r="J93" s="782">
        <v>0</v>
      </c>
      <c r="K93" s="465">
        <v>0</v>
      </c>
      <c r="L93" s="465">
        <v>11.6</v>
      </c>
      <c r="M93" s="833"/>
    </row>
    <row r="94" spans="1:13" ht="13.5" customHeight="1">
      <c r="A94" s="1078" t="s">
        <v>1002</v>
      </c>
      <c r="B94" s="1085">
        <v>925</v>
      </c>
      <c r="C94" s="1085">
        <v>103</v>
      </c>
      <c r="D94" s="1085" t="s">
        <v>1018</v>
      </c>
      <c r="E94" s="1085">
        <v>500</v>
      </c>
      <c r="F94" s="1079">
        <v>244</v>
      </c>
      <c r="G94" s="1079"/>
      <c r="H94" s="2170">
        <f>H95+H100</f>
        <v>920.634</v>
      </c>
      <c r="I94" s="2170">
        <f>I95+I100</f>
        <v>389.99</v>
      </c>
      <c r="J94" s="2170">
        <f>J95+J100</f>
        <v>32.57200000000002</v>
      </c>
      <c r="K94" s="2170">
        <f>K95+K100</f>
        <v>473.43100000000004</v>
      </c>
      <c r="L94" s="2170">
        <f>L95+L100</f>
        <v>24.641</v>
      </c>
      <c r="M94" s="833">
        <v>920.7</v>
      </c>
    </row>
    <row r="95" spans="1:13" ht="13.5" customHeight="1">
      <c r="A95" s="288" t="s">
        <v>326</v>
      </c>
      <c r="B95" s="1083">
        <v>925</v>
      </c>
      <c r="C95" s="1083">
        <v>103</v>
      </c>
      <c r="D95" s="97" t="s">
        <v>1018</v>
      </c>
      <c r="E95" s="1083">
        <v>500</v>
      </c>
      <c r="F95" s="1084">
        <v>244</v>
      </c>
      <c r="G95" s="1084">
        <v>200</v>
      </c>
      <c r="H95" s="2171">
        <f>H96</f>
        <v>441.146</v>
      </c>
      <c r="I95" s="2171">
        <f>I96</f>
        <v>389.99</v>
      </c>
      <c r="J95" s="2172">
        <f>J96</f>
        <v>21.592</v>
      </c>
      <c r="K95" s="2171">
        <f>K96</f>
        <v>4.923000000000007</v>
      </c>
      <c r="L95" s="2171">
        <f>L96</f>
        <v>24.641</v>
      </c>
      <c r="M95" s="833">
        <v>441.2</v>
      </c>
    </row>
    <row r="96" spans="1:13" ht="13.5" customHeight="1">
      <c r="A96" s="290" t="s">
        <v>327</v>
      </c>
      <c r="B96" s="297">
        <v>925</v>
      </c>
      <c r="C96" s="297">
        <v>103</v>
      </c>
      <c r="D96" s="297" t="s">
        <v>1018</v>
      </c>
      <c r="E96" s="297">
        <v>500</v>
      </c>
      <c r="F96" s="303">
        <v>244</v>
      </c>
      <c r="G96" s="303">
        <v>220</v>
      </c>
      <c r="H96" s="770">
        <f>SUM(I96:L96)</f>
        <v>441.146</v>
      </c>
      <c r="I96" s="770">
        <f>I97+I98+I99</f>
        <v>389.99</v>
      </c>
      <c r="J96" s="770">
        <f>J97+J98+J99</f>
        <v>21.592</v>
      </c>
      <c r="K96" s="770">
        <f>K97+K98+K99</f>
        <v>4.923000000000007</v>
      </c>
      <c r="L96" s="770">
        <f>L97+L98+L99</f>
        <v>24.641</v>
      </c>
      <c r="M96" s="833"/>
    </row>
    <row r="97" spans="1:13" ht="13.5" customHeight="1">
      <c r="A97" s="291" t="s">
        <v>112</v>
      </c>
      <c r="B97" s="298">
        <v>925</v>
      </c>
      <c r="C97" s="298">
        <v>103</v>
      </c>
      <c r="D97" s="298" t="s">
        <v>1018</v>
      </c>
      <c r="E97" s="298">
        <v>500</v>
      </c>
      <c r="F97" s="304">
        <v>244</v>
      </c>
      <c r="G97" s="304">
        <v>223</v>
      </c>
      <c r="H97" s="1532">
        <f>SUM(I97:L97)</f>
        <v>42.15899999999999</v>
      </c>
      <c r="I97" s="1533">
        <f>21.455-11.262</f>
        <v>10.192999999999998</v>
      </c>
      <c r="J97" s="1533">
        <f>21.455+11.262-17.427</f>
        <v>15.29</v>
      </c>
      <c r="K97" s="1532">
        <f>21.455+17.427-38.882</f>
        <v>0</v>
      </c>
      <c r="L97" s="1532">
        <f>21.455+38.882-43.661</f>
        <v>16.675999999999995</v>
      </c>
      <c r="M97" s="833">
        <v>42.2</v>
      </c>
    </row>
    <row r="98" spans="1:13" ht="13.5" customHeight="1">
      <c r="A98" s="291" t="s">
        <v>328</v>
      </c>
      <c r="B98" s="298">
        <v>925</v>
      </c>
      <c r="C98" s="298">
        <v>103</v>
      </c>
      <c r="D98" s="298" t="s">
        <v>1018</v>
      </c>
      <c r="E98" s="298">
        <v>500</v>
      </c>
      <c r="F98" s="304">
        <v>244</v>
      </c>
      <c r="G98" s="304">
        <v>225</v>
      </c>
      <c r="H98" s="1532">
        <f>SUM(I98:L98)</f>
        <v>373.54200000000003</v>
      </c>
      <c r="I98" s="1533">
        <f>1.92+400-37.723</f>
        <v>364.197</v>
      </c>
      <c r="J98" s="1533">
        <f>1.92+37.723-36.886</f>
        <v>2.756999999999998</v>
      </c>
      <c r="K98" s="1532">
        <f>1.92+36.886-35.983</f>
        <v>2.8230000000000075</v>
      </c>
      <c r="L98" s="1532">
        <f>1.92+35.983-34.138</f>
        <v>3.7650000000000006</v>
      </c>
      <c r="M98" s="833">
        <v>373.5</v>
      </c>
    </row>
    <row r="99" spans="1:13" ht="13.5" customHeight="1">
      <c r="A99" s="291" t="s">
        <v>329</v>
      </c>
      <c r="B99" s="298">
        <v>925</v>
      </c>
      <c r="C99" s="298">
        <v>103</v>
      </c>
      <c r="D99" s="298" t="s">
        <v>1018</v>
      </c>
      <c r="E99" s="298">
        <v>500</v>
      </c>
      <c r="F99" s="304">
        <v>244</v>
      </c>
      <c r="G99" s="304">
        <v>226</v>
      </c>
      <c r="H99" s="465">
        <f aca="true" t="shared" si="10" ref="H99:H106">SUM(I99:L99)</f>
        <v>25.445</v>
      </c>
      <c r="I99" s="465">
        <f>15.6</f>
        <v>15.6</v>
      </c>
      <c r="J99" s="782">
        <f>30-15.6-10.855</f>
        <v>3.545</v>
      </c>
      <c r="K99" s="465">
        <f>10.855-8.755</f>
        <v>2.0999999999999996</v>
      </c>
      <c r="L99" s="465">
        <f>8.755-4.555</f>
        <v>4.200000000000001</v>
      </c>
      <c r="M99" s="833">
        <v>25.5</v>
      </c>
    </row>
    <row r="100" spans="1:13" ht="13.5" customHeight="1">
      <c r="A100" s="288" t="s">
        <v>330</v>
      </c>
      <c r="B100" s="97">
        <v>925</v>
      </c>
      <c r="C100" s="97">
        <v>103</v>
      </c>
      <c r="D100" s="97" t="s">
        <v>1018</v>
      </c>
      <c r="E100" s="97">
        <v>500</v>
      </c>
      <c r="F100" s="577">
        <v>244</v>
      </c>
      <c r="G100" s="302">
        <v>300</v>
      </c>
      <c r="H100" s="560">
        <f t="shared" si="10"/>
        <v>479.48800000000006</v>
      </c>
      <c r="I100" s="779">
        <f>SUM(I101:I102)</f>
        <v>0</v>
      </c>
      <c r="J100" s="779">
        <f>SUM(J101:J102)</f>
        <v>10.980000000000018</v>
      </c>
      <c r="K100" s="560">
        <f>SUM(K101:K102)</f>
        <v>468.50800000000004</v>
      </c>
      <c r="L100" s="560">
        <f>SUM(L101:L102)</f>
        <v>0</v>
      </c>
      <c r="M100" s="833">
        <v>479.5</v>
      </c>
    </row>
    <row r="101" spans="1:13" ht="13.5" customHeight="1" thickBot="1">
      <c r="A101" s="290" t="s">
        <v>225</v>
      </c>
      <c r="B101" s="297">
        <v>968</v>
      </c>
      <c r="C101" s="297">
        <v>103</v>
      </c>
      <c r="D101" s="297" t="s">
        <v>1018</v>
      </c>
      <c r="E101" s="297">
        <v>500</v>
      </c>
      <c r="F101" s="304">
        <v>244</v>
      </c>
      <c r="G101" s="304">
        <v>310</v>
      </c>
      <c r="H101" s="317">
        <f t="shared" si="10"/>
        <v>479.48800000000006</v>
      </c>
      <c r="I101" s="776">
        <f>550+77.089-627.089</f>
        <v>0</v>
      </c>
      <c r="J101" s="776">
        <f>627.089-616.109</f>
        <v>10.980000000000018</v>
      </c>
      <c r="K101" s="317">
        <f>616.109-147.601</f>
        <v>468.50800000000004</v>
      </c>
      <c r="L101" s="317">
        <f>147.601-11.6-15.001-121</f>
        <v>0</v>
      </c>
      <c r="M101" s="833"/>
    </row>
    <row r="102" spans="1:13" ht="13.5" customHeight="1" hidden="1">
      <c r="A102" s="290" t="s">
        <v>226</v>
      </c>
      <c r="B102" s="297">
        <v>925</v>
      </c>
      <c r="C102" s="297">
        <v>103</v>
      </c>
      <c r="D102" s="297" t="s">
        <v>1018</v>
      </c>
      <c r="E102" s="297">
        <v>500</v>
      </c>
      <c r="F102" s="304">
        <v>244</v>
      </c>
      <c r="G102" s="304">
        <v>340</v>
      </c>
      <c r="H102" s="317">
        <f t="shared" si="10"/>
        <v>0</v>
      </c>
      <c r="I102" s="776">
        <f>10-10</f>
        <v>0</v>
      </c>
      <c r="J102" s="776">
        <f>64.06-64.06</f>
        <v>0</v>
      </c>
      <c r="K102" s="317">
        <f>64.06-64.06</f>
        <v>0</v>
      </c>
      <c r="L102" s="317">
        <f>64.06-64.06</f>
        <v>0</v>
      </c>
      <c r="M102" s="833"/>
    </row>
    <row r="103" spans="1:13" ht="13.5" customHeight="1" hidden="1">
      <c r="A103" s="310" t="s">
        <v>1161</v>
      </c>
      <c r="B103" s="648">
        <v>925</v>
      </c>
      <c r="C103" s="648">
        <v>103</v>
      </c>
      <c r="D103" s="648" t="s">
        <v>475</v>
      </c>
      <c r="E103" s="648">
        <v>500</v>
      </c>
      <c r="F103" s="1748">
        <v>800</v>
      </c>
      <c r="G103" s="1748"/>
      <c r="H103" s="319">
        <f t="shared" si="10"/>
        <v>0</v>
      </c>
      <c r="I103" s="778">
        <f aca="true" t="shared" si="11" ref="I103:L105">I104</f>
        <v>0</v>
      </c>
      <c r="J103" s="778">
        <f t="shared" si="11"/>
        <v>0</v>
      </c>
      <c r="K103" s="778">
        <f t="shared" si="11"/>
        <v>0</v>
      </c>
      <c r="L103" s="319">
        <f t="shared" si="11"/>
        <v>0</v>
      </c>
      <c r="M103" s="833"/>
    </row>
    <row r="104" spans="1:13" ht="13.5" customHeight="1" hidden="1">
      <c r="A104" s="1078" t="s">
        <v>1250</v>
      </c>
      <c r="B104" s="1085">
        <v>925</v>
      </c>
      <c r="C104" s="1085">
        <v>103</v>
      </c>
      <c r="D104" s="1085" t="s">
        <v>475</v>
      </c>
      <c r="E104" s="1085">
        <v>500</v>
      </c>
      <c r="F104" s="1079">
        <v>852</v>
      </c>
      <c r="G104" s="1755"/>
      <c r="H104" s="1518">
        <f t="shared" si="10"/>
        <v>0</v>
      </c>
      <c r="I104" s="1519">
        <f t="shared" si="11"/>
        <v>0</v>
      </c>
      <c r="J104" s="1519">
        <f t="shared" si="11"/>
        <v>0</v>
      </c>
      <c r="K104" s="1519">
        <f t="shared" si="11"/>
        <v>0</v>
      </c>
      <c r="L104" s="1518">
        <f t="shared" si="11"/>
        <v>0</v>
      </c>
      <c r="M104" s="833"/>
    </row>
    <row r="105" spans="1:13" ht="13.5" customHeight="1" hidden="1">
      <c r="A105" s="288" t="s">
        <v>326</v>
      </c>
      <c r="B105" s="97">
        <v>925</v>
      </c>
      <c r="C105" s="97">
        <v>103</v>
      </c>
      <c r="D105" s="97" t="s">
        <v>1018</v>
      </c>
      <c r="E105" s="97">
        <v>500</v>
      </c>
      <c r="F105" s="302">
        <v>852</v>
      </c>
      <c r="G105" s="302">
        <v>200</v>
      </c>
      <c r="H105" s="317">
        <f t="shared" si="10"/>
        <v>0</v>
      </c>
      <c r="I105" s="776">
        <f t="shared" si="11"/>
        <v>0</v>
      </c>
      <c r="J105" s="776">
        <f t="shared" si="11"/>
        <v>0</v>
      </c>
      <c r="K105" s="776">
        <f t="shared" si="11"/>
        <v>0</v>
      </c>
      <c r="L105" s="317">
        <f t="shared" si="11"/>
        <v>0</v>
      </c>
      <c r="M105" s="833"/>
    </row>
    <row r="106" spans="1:13" ht="13.5" customHeight="1" hidden="1">
      <c r="A106" s="290" t="s">
        <v>224</v>
      </c>
      <c r="B106" s="297">
        <v>925</v>
      </c>
      <c r="C106" s="297">
        <v>103</v>
      </c>
      <c r="D106" s="297" t="s">
        <v>1018</v>
      </c>
      <c r="E106" s="297">
        <v>500</v>
      </c>
      <c r="F106" s="303">
        <v>852</v>
      </c>
      <c r="G106" s="303">
        <v>290</v>
      </c>
      <c r="H106" s="317">
        <f t="shared" si="10"/>
        <v>0</v>
      </c>
      <c r="I106" s="317">
        <f>3.199-3.199</f>
        <v>0</v>
      </c>
      <c r="J106" s="2166">
        <f>3.199-3.199</f>
        <v>0</v>
      </c>
      <c r="K106" s="317">
        <f>3.199-3.199</f>
        <v>0</v>
      </c>
      <c r="L106" s="317">
        <f>3.199-3.199</f>
        <v>0</v>
      </c>
      <c r="M106" s="833"/>
    </row>
    <row r="107" spans="1:13" ht="15" customHeight="1" hidden="1">
      <c r="A107" s="311" t="s">
        <v>410</v>
      </c>
      <c r="B107" s="296">
        <v>925</v>
      </c>
      <c r="C107" s="296">
        <v>113</v>
      </c>
      <c r="D107" s="296"/>
      <c r="E107" s="296"/>
      <c r="F107" s="301"/>
      <c r="G107" s="301"/>
      <c r="H107" s="2280">
        <f>SUM(I107:L107)</f>
        <v>0</v>
      </c>
      <c r="I107" s="2279">
        <f>I108</f>
        <v>0</v>
      </c>
      <c r="J107" s="2279">
        <f>J108</f>
        <v>0</v>
      </c>
      <c r="K107" s="2279">
        <f>K108</f>
        <v>0</v>
      </c>
      <c r="L107" s="2279">
        <f>L108</f>
        <v>0</v>
      </c>
      <c r="M107" s="833"/>
    </row>
    <row r="108" spans="1:13" ht="39" customHeight="1" hidden="1">
      <c r="A108" s="310" t="s">
        <v>940</v>
      </c>
      <c r="B108" s="107">
        <v>925</v>
      </c>
      <c r="C108" s="107">
        <v>113</v>
      </c>
      <c r="D108" s="107" t="str">
        <f>D110</f>
        <v>092 05 00</v>
      </c>
      <c r="E108" s="107"/>
      <c r="F108" s="305"/>
      <c r="G108" s="305"/>
      <c r="H108" s="650">
        <f>H110</f>
        <v>0</v>
      </c>
      <c r="I108" s="777">
        <f aca="true" t="shared" si="12" ref="I108:L111">I109</f>
        <v>0</v>
      </c>
      <c r="J108" s="777">
        <f t="shared" si="12"/>
        <v>0</v>
      </c>
      <c r="K108" s="777">
        <f t="shared" si="12"/>
        <v>0</v>
      </c>
      <c r="L108" s="650">
        <f t="shared" si="12"/>
        <v>0</v>
      </c>
      <c r="M108" s="833"/>
    </row>
    <row r="109" spans="1:13" ht="13.5" customHeight="1" hidden="1">
      <c r="A109" s="310" t="s">
        <v>1161</v>
      </c>
      <c r="B109" s="1085">
        <v>925</v>
      </c>
      <c r="C109" s="1085">
        <v>113</v>
      </c>
      <c r="D109" s="1085" t="str">
        <f>D110</f>
        <v>092 05 00</v>
      </c>
      <c r="E109" s="1089">
        <v>13</v>
      </c>
      <c r="F109" s="1090">
        <v>800</v>
      </c>
      <c r="G109" s="305"/>
      <c r="H109" s="650">
        <f>SUM(I109:L109)</f>
        <v>0</v>
      </c>
      <c r="I109" s="777">
        <f t="shared" si="12"/>
        <v>0</v>
      </c>
      <c r="J109" s="777">
        <f t="shared" si="12"/>
        <v>0</v>
      </c>
      <c r="K109" s="777">
        <f t="shared" si="12"/>
        <v>0</v>
      </c>
      <c r="L109" s="650">
        <f t="shared" si="12"/>
        <v>0</v>
      </c>
      <c r="M109" s="833"/>
    </row>
    <row r="110" spans="1:13" ht="13.5" customHeight="1" hidden="1">
      <c r="A110" s="1078" t="s">
        <v>1259</v>
      </c>
      <c r="B110" s="1085">
        <v>925</v>
      </c>
      <c r="C110" s="1085">
        <v>113</v>
      </c>
      <c r="D110" s="1085" t="str">
        <f>D111</f>
        <v>092 05 00</v>
      </c>
      <c r="E110" s="1089">
        <v>13</v>
      </c>
      <c r="F110" s="1090">
        <v>853</v>
      </c>
      <c r="G110" s="1079"/>
      <c r="H110" s="1086">
        <f>H111</f>
        <v>0</v>
      </c>
      <c r="I110" s="1087">
        <f t="shared" si="12"/>
        <v>0</v>
      </c>
      <c r="J110" s="1087">
        <f t="shared" si="12"/>
        <v>0</v>
      </c>
      <c r="K110" s="1086">
        <f t="shared" si="12"/>
        <v>0</v>
      </c>
      <c r="L110" s="1086">
        <f t="shared" si="12"/>
        <v>0</v>
      </c>
      <c r="M110" s="833"/>
    </row>
    <row r="111" spans="1:13" ht="13.5" customHeight="1" hidden="1">
      <c r="A111" s="288" t="s">
        <v>326</v>
      </c>
      <c r="B111" s="97">
        <v>925</v>
      </c>
      <c r="C111" s="97">
        <v>113</v>
      </c>
      <c r="D111" s="97" t="str">
        <f>D112</f>
        <v>092 05 00</v>
      </c>
      <c r="E111" s="780">
        <v>13</v>
      </c>
      <c r="F111" s="1072">
        <v>853</v>
      </c>
      <c r="G111" s="302">
        <v>200</v>
      </c>
      <c r="H111" s="1534">
        <f>H112</f>
        <v>0</v>
      </c>
      <c r="I111" s="1535">
        <f t="shared" si="12"/>
        <v>0</v>
      </c>
      <c r="J111" s="1535">
        <f t="shared" si="12"/>
        <v>0</v>
      </c>
      <c r="K111" s="1534">
        <f t="shared" si="12"/>
        <v>0</v>
      </c>
      <c r="L111" s="1534">
        <f t="shared" si="12"/>
        <v>0</v>
      </c>
      <c r="M111" s="833"/>
    </row>
    <row r="112" spans="1:13" ht="13.5" customHeight="1" hidden="1" thickBot="1">
      <c r="A112" s="290" t="s">
        <v>224</v>
      </c>
      <c r="B112" s="297">
        <v>925</v>
      </c>
      <c r="C112" s="297">
        <v>113</v>
      </c>
      <c r="D112" s="97" t="s">
        <v>470</v>
      </c>
      <c r="E112" s="781">
        <v>13</v>
      </c>
      <c r="F112" s="1073">
        <v>853</v>
      </c>
      <c r="G112" s="303">
        <v>290</v>
      </c>
      <c r="H112" s="2249">
        <f>SUM(I112:L112)</f>
        <v>0</v>
      </c>
      <c r="I112" s="2248">
        <v>0</v>
      </c>
      <c r="J112" s="2248">
        <v>0</v>
      </c>
      <c r="K112" s="2249">
        <v>0</v>
      </c>
      <c r="L112" s="2249">
        <v>0</v>
      </c>
      <c r="M112" s="833"/>
    </row>
    <row r="113" spans="1:13" ht="24" customHeight="1" thickBot="1">
      <c r="A113" s="682" t="s">
        <v>294</v>
      </c>
      <c r="B113" s="803"/>
      <c r="C113" s="803"/>
      <c r="D113" s="803"/>
      <c r="E113" s="803"/>
      <c r="F113" s="803"/>
      <c r="G113" s="1493"/>
      <c r="H113" s="1496">
        <f>H57</f>
        <v>4108.187000000001</v>
      </c>
      <c r="I113" s="1496">
        <f>I57</f>
        <v>1193.9920000000002</v>
      </c>
      <c r="J113" s="1497">
        <f>J57</f>
        <v>809.5500000000001</v>
      </c>
      <c r="K113" s="1496">
        <f>K57</f>
        <v>1305.823</v>
      </c>
      <c r="L113" s="1496">
        <f>L57</f>
        <v>798.822</v>
      </c>
      <c r="M113" s="833">
        <v>4108.2</v>
      </c>
    </row>
    <row r="114" spans="1:13" ht="24" customHeight="1">
      <c r="A114" t="s">
        <v>334</v>
      </c>
      <c r="I114" s="3187" t="s">
        <v>1261</v>
      </c>
      <c r="J114" s="3187"/>
      <c r="K114" s="3187"/>
      <c r="L114" s="802"/>
      <c r="M114" s="833"/>
    </row>
    <row r="115" spans="1:13" ht="24" customHeight="1">
      <c r="A115" s="3180" t="s">
        <v>335</v>
      </c>
      <c r="B115" s="3180"/>
      <c r="I115" s="3099" t="s">
        <v>1229</v>
      </c>
      <c r="J115" s="3099"/>
      <c r="K115" s="3099"/>
      <c r="M115" s="833"/>
    </row>
    <row r="116" spans="1:13" ht="13.5" customHeight="1">
      <c r="A116" s="804"/>
      <c r="B116" s="801"/>
      <c r="C116" s="801"/>
      <c r="D116" s="801"/>
      <c r="E116" s="801"/>
      <c r="F116" s="801"/>
      <c r="G116" s="801"/>
      <c r="H116" s="802"/>
      <c r="I116" s="802"/>
      <c r="J116" s="802"/>
      <c r="K116" s="802"/>
      <c r="L116" s="802"/>
      <c r="M116" s="833"/>
    </row>
    <row r="117" spans="1:13" ht="21.75" customHeight="1">
      <c r="A117" s="804"/>
      <c r="B117" s="801"/>
      <c r="C117" s="801"/>
      <c r="D117" s="801"/>
      <c r="E117" s="801"/>
      <c r="F117" s="801"/>
      <c r="G117" s="801"/>
      <c r="H117" s="802"/>
      <c r="I117" s="802"/>
      <c r="J117" s="802"/>
      <c r="K117" s="802"/>
      <c r="L117" s="802"/>
      <c r="M117" s="833"/>
    </row>
    <row r="118" spans="1:13" ht="13.5" customHeight="1">
      <c r="A118" s="804"/>
      <c r="B118" s="801"/>
      <c r="C118" s="801"/>
      <c r="D118" s="3100" t="s">
        <v>1234</v>
      </c>
      <c r="E118" s="3100"/>
      <c r="F118" s="3100"/>
      <c r="G118" s="3100"/>
      <c r="H118" s="3100"/>
      <c r="I118" s="3100"/>
      <c r="J118" s="3100"/>
      <c r="K118" s="3100"/>
      <c r="L118" s="3100"/>
      <c r="M118" s="833"/>
    </row>
    <row r="119" spans="1:13" ht="13.5" customHeight="1">
      <c r="A119" s="804"/>
      <c r="B119" s="801"/>
      <c r="C119" s="801"/>
      <c r="D119" s="3100" t="s">
        <v>1330</v>
      </c>
      <c r="E119" s="3100"/>
      <c r="F119" s="3100"/>
      <c r="G119" s="3100"/>
      <c r="H119" s="3100"/>
      <c r="I119" s="3100"/>
      <c r="J119" s="3100"/>
      <c r="K119" s="3100"/>
      <c r="L119" s="3100"/>
      <c r="M119" s="833"/>
    </row>
    <row r="120" spans="1:13" ht="13.5" customHeight="1">
      <c r="A120" s="804"/>
      <c r="B120" s="801"/>
      <c r="C120" s="801"/>
      <c r="D120" s="3100" t="s">
        <v>1341</v>
      </c>
      <c r="E120" s="3100"/>
      <c r="F120" s="3100"/>
      <c r="G120" s="3100"/>
      <c r="H120" s="3100"/>
      <c r="I120" s="3100"/>
      <c r="J120" s="3100"/>
      <c r="K120" s="3100"/>
      <c r="L120" s="3100"/>
      <c r="M120" s="833"/>
    </row>
    <row r="121" spans="1:13" ht="13.5" customHeight="1">
      <c r="A121" s="804"/>
      <c r="B121" s="801"/>
      <c r="C121" s="801"/>
      <c r="D121" s="3100" t="s">
        <v>1357</v>
      </c>
      <c r="E121" s="3100"/>
      <c r="F121" s="3100"/>
      <c r="G121" s="3100"/>
      <c r="H121" s="3100"/>
      <c r="I121" s="3100"/>
      <c r="J121" s="3100"/>
      <c r="K121" s="3100"/>
      <c r="L121" s="3100"/>
      <c r="M121" s="833"/>
    </row>
    <row r="122" spans="1:13" ht="13.5" customHeight="1">
      <c r="A122" s="804"/>
      <c r="B122" s="801"/>
      <c r="C122" s="801"/>
      <c r="D122" s="3100" t="s">
        <v>1358</v>
      </c>
      <c r="E122" s="3100"/>
      <c r="F122" s="3100"/>
      <c r="G122" s="3100"/>
      <c r="H122" s="3100"/>
      <c r="I122" s="3100"/>
      <c r="J122" s="3100"/>
      <c r="K122" s="3100"/>
      <c r="L122" s="3100"/>
      <c r="M122" s="833"/>
    </row>
    <row r="123" spans="1:13" ht="13.5" customHeight="1">
      <c r="A123" s="804"/>
      <c r="B123" s="801"/>
      <c r="C123" s="801"/>
      <c r="D123" s="3100" t="s">
        <v>1367</v>
      </c>
      <c r="E123" s="3100"/>
      <c r="F123" s="3100"/>
      <c r="G123" s="3100"/>
      <c r="H123" s="3100"/>
      <c r="I123" s="3100"/>
      <c r="J123" s="3100"/>
      <c r="K123" s="3100"/>
      <c r="L123" s="3100"/>
      <c r="M123" s="833"/>
    </row>
    <row r="124" spans="1:13" ht="13.5" customHeight="1">
      <c r="A124" s="804"/>
      <c r="B124" s="801"/>
      <c r="C124" s="801"/>
      <c r="D124" s="3100" t="s">
        <v>1368</v>
      </c>
      <c r="E124" s="3100"/>
      <c r="F124" s="3100"/>
      <c r="G124" s="3100"/>
      <c r="H124" s="3100"/>
      <c r="I124" s="3100"/>
      <c r="J124" s="3100"/>
      <c r="K124" s="3100"/>
      <c r="L124" s="3100"/>
      <c r="M124" s="833"/>
    </row>
    <row r="125" spans="1:13" ht="13.5" customHeight="1">
      <c r="A125" s="804"/>
      <c r="B125" s="801"/>
      <c r="C125" s="801"/>
      <c r="D125" s="3100" t="s">
        <v>1380</v>
      </c>
      <c r="E125" s="3100"/>
      <c r="F125" s="3100"/>
      <c r="G125" s="3100"/>
      <c r="H125" s="3100"/>
      <c r="I125" s="3100"/>
      <c r="J125" s="3100"/>
      <c r="K125" s="3100"/>
      <c r="L125" s="3100"/>
      <c r="M125" s="833"/>
    </row>
    <row r="126" spans="1:13" ht="13.5" customHeight="1">
      <c r="A126" s="804"/>
      <c r="B126" s="801"/>
      <c r="C126" s="801"/>
      <c r="D126" s="3100" t="s">
        <v>1386</v>
      </c>
      <c r="E126" s="3100"/>
      <c r="F126" s="3100"/>
      <c r="G126" s="3100"/>
      <c r="H126" s="3100"/>
      <c r="I126" s="3100"/>
      <c r="J126" s="3100"/>
      <c r="K126" s="3100"/>
      <c r="L126" s="3100"/>
      <c r="M126" s="833"/>
    </row>
    <row r="127" spans="1:13" ht="13.5" customHeight="1">
      <c r="A127" s="804"/>
      <c r="B127" s="801"/>
      <c r="C127" s="801"/>
      <c r="D127" s="3100" t="s">
        <v>1389</v>
      </c>
      <c r="E127" s="3100"/>
      <c r="F127" s="3100"/>
      <c r="G127" s="3100"/>
      <c r="H127" s="3100"/>
      <c r="I127" s="3100"/>
      <c r="J127" s="3100"/>
      <c r="K127" s="3100"/>
      <c r="L127" s="3100"/>
      <c r="M127" s="833"/>
    </row>
    <row r="128" spans="1:13" ht="13.5" customHeight="1">
      <c r="A128" s="804"/>
      <c r="B128" s="801"/>
      <c r="C128" s="801"/>
      <c r="D128" s="3100" t="s">
        <v>1393</v>
      </c>
      <c r="E128" s="3100"/>
      <c r="F128" s="3100"/>
      <c r="G128" s="3100"/>
      <c r="H128" s="3100"/>
      <c r="I128" s="3100"/>
      <c r="J128" s="3100"/>
      <c r="K128" s="3100"/>
      <c r="L128" s="3100"/>
      <c r="M128" s="833"/>
    </row>
    <row r="129" spans="1:13" ht="13.5" customHeight="1">
      <c r="A129" s="804"/>
      <c r="B129" s="801"/>
      <c r="C129" s="801"/>
      <c r="D129" s="3100" t="s">
        <v>1394</v>
      </c>
      <c r="E129" s="3100"/>
      <c r="F129" s="3100"/>
      <c r="G129" s="3100"/>
      <c r="H129" s="3100"/>
      <c r="I129" s="3100"/>
      <c r="J129" s="3100"/>
      <c r="K129" s="3100"/>
      <c r="L129" s="3100"/>
      <c r="M129" s="833"/>
    </row>
    <row r="130" spans="1:13" ht="13.5" customHeight="1">
      <c r="A130" s="804"/>
      <c r="B130" s="801"/>
      <c r="C130" s="801"/>
      <c r="D130" s="3100" t="s">
        <v>1396</v>
      </c>
      <c r="E130" s="3100"/>
      <c r="F130" s="3100"/>
      <c r="G130" s="3100"/>
      <c r="H130" s="3100"/>
      <c r="I130" s="3100"/>
      <c r="J130" s="3100"/>
      <c r="K130" s="3100"/>
      <c r="L130" s="3100"/>
      <c r="M130" s="833"/>
    </row>
    <row r="131" spans="1:13" ht="13.5" customHeight="1">
      <c r="A131" s="804"/>
      <c r="B131" s="801"/>
      <c r="C131" s="801"/>
      <c r="D131" s="3100" t="s">
        <v>1397</v>
      </c>
      <c r="E131" s="3100"/>
      <c r="F131" s="3100"/>
      <c r="G131" s="3100"/>
      <c r="H131" s="3100"/>
      <c r="I131" s="3100"/>
      <c r="J131" s="3100"/>
      <c r="K131" s="3100"/>
      <c r="L131" s="3100"/>
      <c r="M131" s="833"/>
    </row>
    <row r="132" spans="1:13" ht="13.5" customHeight="1">
      <c r="A132" s="804"/>
      <c r="B132" s="801"/>
      <c r="C132" s="801"/>
      <c r="D132" s="3100" t="s">
        <v>1398</v>
      </c>
      <c r="E132" s="3100"/>
      <c r="F132" s="3100"/>
      <c r="G132" s="3100"/>
      <c r="H132" s="3100"/>
      <c r="I132" s="3100"/>
      <c r="J132" s="3100"/>
      <c r="K132" s="3100"/>
      <c r="L132" s="3100"/>
      <c r="M132" s="833"/>
    </row>
    <row r="133" spans="1:13" ht="13.5" customHeight="1">
      <c r="A133" s="804"/>
      <c r="B133" s="801"/>
      <c r="C133" s="801"/>
      <c r="D133" s="3100" t="s">
        <v>1400</v>
      </c>
      <c r="E133" s="3100"/>
      <c r="F133" s="3100"/>
      <c r="G133" s="3100"/>
      <c r="H133" s="3100"/>
      <c r="I133" s="3100"/>
      <c r="J133" s="3100"/>
      <c r="K133" s="3100"/>
      <c r="L133" s="3100"/>
      <c r="M133" s="833"/>
    </row>
    <row r="134" spans="1:13" ht="13.5" customHeight="1">
      <c r="A134" s="804"/>
      <c r="B134" s="801"/>
      <c r="C134" s="801"/>
      <c r="D134" s="3100" t="s">
        <v>1399</v>
      </c>
      <c r="E134" s="3100"/>
      <c r="F134" s="3100"/>
      <c r="G134" s="3100"/>
      <c r="H134" s="3100"/>
      <c r="I134" s="3100"/>
      <c r="J134" s="3100"/>
      <c r="K134" s="3100"/>
      <c r="L134" s="3100"/>
      <c r="M134" s="833"/>
    </row>
    <row r="135" spans="1:13" ht="13.5" customHeight="1">
      <c r="A135" s="804"/>
      <c r="B135" s="801"/>
      <c r="C135" s="801"/>
      <c r="D135" s="3100" t="s">
        <v>1403</v>
      </c>
      <c r="E135" s="3100"/>
      <c r="F135" s="3100"/>
      <c r="G135" s="3100"/>
      <c r="H135" s="3100"/>
      <c r="I135" s="3100"/>
      <c r="J135" s="3100"/>
      <c r="K135" s="3100"/>
      <c r="L135" s="3100"/>
      <c r="M135" s="833"/>
    </row>
    <row r="136" spans="1:13" ht="13.5" customHeight="1">
      <c r="A136" s="804"/>
      <c r="B136" s="801"/>
      <c r="C136" s="801"/>
      <c r="D136" s="3100" t="s">
        <v>1407</v>
      </c>
      <c r="E136" s="3100"/>
      <c r="F136" s="3100"/>
      <c r="G136" s="3100"/>
      <c r="H136" s="3100"/>
      <c r="I136" s="3100"/>
      <c r="J136" s="3100"/>
      <c r="K136" s="3100"/>
      <c r="L136" s="3100"/>
      <c r="M136" s="833"/>
    </row>
    <row r="137" spans="1:13" ht="13.5" customHeight="1">
      <c r="A137" s="804"/>
      <c r="B137" s="801"/>
      <c r="C137" s="801"/>
      <c r="D137" s="3100" t="s">
        <v>1409</v>
      </c>
      <c r="E137" s="3100"/>
      <c r="F137" s="3100"/>
      <c r="G137" s="3100"/>
      <c r="H137" s="3100"/>
      <c r="I137" s="3100"/>
      <c r="J137" s="3100"/>
      <c r="K137" s="3100"/>
      <c r="L137" s="3100"/>
      <c r="M137" s="833"/>
    </row>
    <row r="138" spans="1:13" ht="13.5" customHeight="1">
      <c r="A138" s="804"/>
      <c r="B138" s="801"/>
      <c r="C138" s="801"/>
      <c r="D138" s="3100" t="s">
        <v>1410</v>
      </c>
      <c r="E138" s="3100"/>
      <c r="F138" s="3100"/>
      <c r="G138" s="3100"/>
      <c r="H138" s="3100"/>
      <c r="I138" s="3100"/>
      <c r="J138" s="3100"/>
      <c r="K138" s="3100"/>
      <c r="L138" s="3100"/>
      <c r="M138" s="833"/>
    </row>
    <row r="139" spans="1:13" ht="13.5" customHeight="1">
      <c r="A139" s="804"/>
      <c r="B139" s="801"/>
      <c r="C139" s="801"/>
      <c r="D139" s="3100" t="s">
        <v>1411</v>
      </c>
      <c r="E139" s="3100"/>
      <c r="F139" s="3100"/>
      <c r="G139" s="3100"/>
      <c r="H139" s="3100"/>
      <c r="I139" s="3100"/>
      <c r="J139" s="3100"/>
      <c r="K139" s="3100"/>
      <c r="L139" s="3100"/>
      <c r="M139" s="833"/>
    </row>
    <row r="140" spans="1:13" ht="13.5" customHeight="1">
      <c r="A140" s="3185" t="s">
        <v>84</v>
      </c>
      <c r="B140" s="3185"/>
      <c r="C140" s="3185"/>
      <c r="D140" s="3185"/>
      <c r="E140" s="3185"/>
      <c r="F140" s="3185"/>
      <c r="G140" s="3185"/>
      <c r="H140" s="3185"/>
      <c r="I140" s="3185"/>
      <c r="J140" s="3185"/>
      <c r="K140" s="3185"/>
      <c r="L140" s="3185"/>
      <c r="M140" s="833"/>
    </row>
    <row r="141" spans="1:13" ht="13.5" customHeight="1" thickBot="1">
      <c r="A141" s="3185" t="s">
        <v>1388</v>
      </c>
      <c r="B141" s="3185"/>
      <c r="C141" s="3185"/>
      <c r="D141" s="3185"/>
      <c r="E141" s="3185"/>
      <c r="F141" s="3185"/>
      <c r="G141" s="3185"/>
      <c r="H141" s="3185"/>
      <c r="I141" s="3185"/>
      <c r="J141" s="3185"/>
      <c r="K141" s="3185"/>
      <c r="L141" s="3185"/>
      <c r="M141" s="833"/>
    </row>
    <row r="142" spans="1:13" ht="13.5" customHeight="1" hidden="1">
      <c r="A142" s="804"/>
      <c r="B142" s="801"/>
      <c r="C142" s="801"/>
      <c r="D142" s="3178" t="s">
        <v>1119</v>
      </c>
      <c r="E142" s="3179"/>
      <c r="F142" s="3179"/>
      <c r="G142" s="3179"/>
      <c r="H142" s="3179"/>
      <c r="I142" s="3179"/>
      <c r="J142" s="3179"/>
      <c r="K142" s="3179"/>
      <c r="L142" s="3179"/>
      <c r="M142" s="833"/>
    </row>
    <row r="143" spans="1:13" ht="13.5" customHeight="1" hidden="1">
      <c r="A143" s="804"/>
      <c r="B143" s="801"/>
      <c r="C143" s="801"/>
      <c r="D143" s="3178" t="s">
        <v>1248</v>
      </c>
      <c r="E143" s="3179"/>
      <c r="F143" s="3179"/>
      <c r="G143" s="3179"/>
      <c r="H143" s="3179"/>
      <c r="I143" s="3179"/>
      <c r="J143" s="3179"/>
      <c r="K143" s="3179"/>
      <c r="L143" s="3179"/>
      <c r="M143" s="833"/>
    </row>
    <row r="144" spans="1:13" ht="13.5" customHeight="1" hidden="1">
      <c r="A144" s="804"/>
      <c r="B144" s="801"/>
      <c r="C144" s="801"/>
      <c r="D144" s="3178" t="s">
        <v>1251</v>
      </c>
      <c r="E144" s="3179"/>
      <c r="F144" s="3179"/>
      <c r="G144" s="3179"/>
      <c r="H144" s="3179"/>
      <c r="I144" s="3179"/>
      <c r="J144" s="3179"/>
      <c r="K144" s="3179"/>
      <c r="L144" s="3179"/>
      <c r="M144" s="833"/>
    </row>
    <row r="145" spans="1:13" ht="13.5" customHeight="1" hidden="1">
      <c r="A145" s="804"/>
      <c r="B145" s="801"/>
      <c r="C145" s="801"/>
      <c r="D145" s="3178" t="s">
        <v>1253</v>
      </c>
      <c r="E145" s="3179"/>
      <c r="F145" s="3179"/>
      <c r="G145" s="3179"/>
      <c r="H145" s="3179"/>
      <c r="I145" s="3179"/>
      <c r="J145" s="3179"/>
      <c r="K145" s="3179"/>
      <c r="L145" s="3179"/>
      <c r="M145" s="833"/>
    </row>
    <row r="146" spans="1:13" ht="13.5" customHeight="1" hidden="1">
      <c r="A146" s="804"/>
      <c r="B146" s="801"/>
      <c r="C146" s="801"/>
      <c r="D146" s="3178"/>
      <c r="E146" s="3179"/>
      <c r="F146" s="3179"/>
      <c r="G146" s="3179"/>
      <c r="H146" s="3179"/>
      <c r="I146" s="3179"/>
      <c r="J146" s="3179"/>
      <c r="K146" s="3179"/>
      <c r="L146" s="3179"/>
      <c r="M146" s="833"/>
    </row>
    <row r="147" spans="1:13" ht="13.5" customHeight="1" hidden="1">
      <c r="A147" s="804"/>
      <c r="B147" s="801"/>
      <c r="C147" s="801"/>
      <c r="D147" s="3178"/>
      <c r="E147" s="3179"/>
      <c r="F147" s="3179"/>
      <c r="G147" s="3179"/>
      <c r="H147" s="3179"/>
      <c r="I147" s="3179"/>
      <c r="J147" s="3179"/>
      <c r="K147" s="3179"/>
      <c r="L147" s="3179"/>
      <c r="M147" s="833"/>
    </row>
    <row r="148" spans="1:13" ht="13.5" customHeight="1" hidden="1">
      <c r="A148" s="804"/>
      <c r="B148" s="801"/>
      <c r="C148" s="801"/>
      <c r="D148" s="3178"/>
      <c r="E148" s="3179"/>
      <c r="F148" s="3179"/>
      <c r="G148" s="3179"/>
      <c r="H148" s="3179"/>
      <c r="I148" s="3179"/>
      <c r="J148" s="3179"/>
      <c r="K148" s="3179"/>
      <c r="L148" s="3179"/>
      <c r="M148" s="833"/>
    </row>
    <row r="149" spans="1:13" ht="13.5" customHeight="1" hidden="1">
      <c r="A149" s="804"/>
      <c r="B149" s="801"/>
      <c r="C149" s="801"/>
      <c r="D149" s="3178"/>
      <c r="E149" s="3179"/>
      <c r="F149" s="3179"/>
      <c r="G149" s="3179"/>
      <c r="H149" s="3179"/>
      <c r="I149" s="3179"/>
      <c r="J149" s="3179"/>
      <c r="K149" s="3179"/>
      <c r="L149" s="3179"/>
      <c r="M149" s="833"/>
    </row>
    <row r="150" spans="1:13" ht="13.5" customHeight="1" hidden="1">
      <c r="A150" s="804"/>
      <c r="B150" s="801"/>
      <c r="C150" s="801"/>
      <c r="D150" s="3178"/>
      <c r="E150" s="3179"/>
      <c r="F150" s="3179"/>
      <c r="G150" s="3179"/>
      <c r="H150" s="3179"/>
      <c r="I150" s="3179"/>
      <c r="J150" s="3179"/>
      <c r="K150" s="3179"/>
      <c r="L150" s="3179"/>
      <c r="M150" s="833"/>
    </row>
    <row r="151" spans="1:13" ht="13.5" customHeight="1" hidden="1">
      <c r="A151" s="804"/>
      <c r="B151" s="801"/>
      <c r="C151" s="801"/>
      <c r="D151" s="3178"/>
      <c r="E151" s="3179"/>
      <c r="F151" s="3179"/>
      <c r="G151" s="3179"/>
      <c r="H151" s="3179"/>
      <c r="I151" s="3179"/>
      <c r="J151" s="3179"/>
      <c r="K151" s="3179"/>
      <c r="L151" s="3179"/>
      <c r="M151" s="833"/>
    </row>
    <row r="152" spans="1:13" ht="13.5" customHeight="1" hidden="1" thickBot="1">
      <c r="A152" s="3186" t="s">
        <v>218</v>
      </c>
      <c r="B152" s="3186"/>
      <c r="C152" s="3186"/>
      <c r="D152" s="3186"/>
      <c r="E152" s="3186"/>
      <c r="F152" s="3186"/>
      <c r="G152" s="3186"/>
      <c r="H152" s="3186"/>
      <c r="I152" s="3186"/>
      <c r="J152" s="3186"/>
      <c r="K152" s="3186"/>
      <c r="L152" s="3186"/>
      <c r="M152" s="833"/>
    </row>
    <row r="153" spans="1:13" ht="56.25" customHeight="1" thickBot="1">
      <c r="A153" s="292" t="s">
        <v>219</v>
      </c>
      <c r="B153" s="293" t="s">
        <v>444</v>
      </c>
      <c r="C153" s="293" t="s">
        <v>232</v>
      </c>
      <c r="D153" s="293" t="s">
        <v>230</v>
      </c>
      <c r="E153" s="293" t="s">
        <v>101</v>
      </c>
      <c r="F153" s="293" t="s">
        <v>101</v>
      </c>
      <c r="G153" s="299" t="s">
        <v>322</v>
      </c>
      <c r="H153" s="306" t="s">
        <v>268</v>
      </c>
      <c r="I153" s="306" t="s">
        <v>771</v>
      </c>
      <c r="J153" s="461" t="s">
        <v>772</v>
      </c>
      <c r="K153" s="306" t="s">
        <v>760</v>
      </c>
      <c r="L153" s="306" t="s">
        <v>761</v>
      </c>
      <c r="M153" s="833"/>
    </row>
    <row r="154" spans="1:13" ht="13.5" customHeight="1" thickBot="1">
      <c r="A154" s="294">
        <v>1</v>
      </c>
      <c r="B154" s="295">
        <v>2</v>
      </c>
      <c r="C154" s="295">
        <v>3</v>
      </c>
      <c r="D154" s="295">
        <v>4</v>
      </c>
      <c r="E154" s="295">
        <v>5</v>
      </c>
      <c r="F154" s="300"/>
      <c r="G154" s="300">
        <v>6</v>
      </c>
      <c r="H154" s="307">
        <v>7</v>
      </c>
      <c r="I154" s="307">
        <v>8</v>
      </c>
      <c r="J154" s="462">
        <v>9</v>
      </c>
      <c r="K154" s="307">
        <v>10</v>
      </c>
      <c r="L154" s="307">
        <v>11</v>
      </c>
      <c r="M154" s="833"/>
    </row>
    <row r="155" spans="1:13" ht="21.75" customHeight="1" thickBot="1">
      <c r="A155" s="790" t="s">
        <v>458</v>
      </c>
      <c r="B155" s="582">
        <v>968</v>
      </c>
      <c r="C155" s="582"/>
      <c r="D155" s="582"/>
      <c r="E155" s="582"/>
      <c r="F155" s="583"/>
      <c r="G155" s="583"/>
      <c r="H155" s="593">
        <f>SUM(I155:L155)</f>
        <v>116891.813</v>
      </c>
      <c r="I155" s="593">
        <f>I156+I286+I315+I333+I437+I443+I509++I531+I578+I592</f>
        <v>16697.756</v>
      </c>
      <c r="J155" s="593">
        <f>J156+J286+J315+J333+J437+J443+J509++J531+J578+J592</f>
        <v>21319.772999999997</v>
      </c>
      <c r="K155" s="593">
        <f>K156+K286+K315+K333+K437+K443+K509+K531+K578+K592</f>
        <v>34812.404</v>
      </c>
      <c r="L155" s="593">
        <f>L156+L286+L315+L333+L437+L443+L509++L531+L578+L592</f>
        <v>44061.880000000005</v>
      </c>
      <c r="M155" s="2489">
        <v>116891.8</v>
      </c>
    </row>
    <row r="156" spans="1:13" ht="16.5" customHeight="1" thickBot="1">
      <c r="A156" s="569" t="s">
        <v>102</v>
      </c>
      <c r="B156" s="570">
        <v>968</v>
      </c>
      <c r="C156" s="570">
        <v>100</v>
      </c>
      <c r="D156" s="570"/>
      <c r="E156" s="570"/>
      <c r="F156" s="571"/>
      <c r="G156" s="571"/>
      <c r="H156" s="572">
        <f>SUM(I156:L156)</f>
        <v>29256.657999999996</v>
      </c>
      <c r="I156" s="572">
        <f>I157+I227+I233</f>
        <v>6018.304999999999</v>
      </c>
      <c r="J156" s="572">
        <f>J157+J227+J233</f>
        <v>6627.097999999999</v>
      </c>
      <c r="K156" s="642">
        <f>K157+K227+K233</f>
        <v>5512.103</v>
      </c>
      <c r="L156" s="572">
        <f>L157+L227+L233</f>
        <v>11099.151999999998</v>
      </c>
      <c r="M156" s="2489">
        <v>29256.7</v>
      </c>
    </row>
    <row r="157" spans="1:13" ht="46.5" customHeight="1">
      <c r="A157" s="311" t="s">
        <v>1170</v>
      </c>
      <c r="B157" s="296">
        <v>968</v>
      </c>
      <c r="C157" s="296">
        <v>104</v>
      </c>
      <c r="D157" s="296"/>
      <c r="E157" s="296"/>
      <c r="F157" s="301"/>
      <c r="G157" s="301"/>
      <c r="H157" s="318">
        <f>SUM(I157:L157)</f>
        <v>25821.523</v>
      </c>
      <c r="I157" s="641">
        <f>I158+I164</f>
        <v>5978.325</v>
      </c>
      <c r="J157" s="641">
        <f>J158+J164</f>
        <v>6285.107999999999</v>
      </c>
      <c r="K157" s="641">
        <f>K158+K164</f>
        <v>5472.1230000000005</v>
      </c>
      <c r="L157" s="318">
        <f>L158+L164</f>
        <v>8085.967</v>
      </c>
      <c r="M157" s="2490">
        <v>25821.6</v>
      </c>
    </row>
    <row r="158" spans="1:13" ht="15" customHeight="1">
      <c r="A158" s="287" t="s">
        <v>87</v>
      </c>
      <c r="B158" s="107">
        <v>968</v>
      </c>
      <c r="C158" s="107">
        <v>104</v>
      </c>
      <c r="D158" s="107" t="s">
        <v>477</v>
      </c>
      <c r="E158" s="107"/>
      <c r="F158" s="305"/>
      <c r="G158" s="305"/>
      <c r="H158" s="1572">
        <f>H160</f>
        <v>1301.6730000000002</v>
      </c>
      <c r="I158" s="1573">
        <f aca="true" t="shared" si="13" ref="I158:L160">I159</f>
        <v>287.876</v>
      </c>
      <c r="J158" s="1573">
        <f t="shared" si="13"/>
        <v>382.742</v>
      </c>
      <c r="K158" s="1573">
        <f t="shared" si="13"/>
        <v>141.805</v>
      </c>
      <c r="L158" s="1572">
        <f t="shared" si="13"/>
        <v>489.25</v>
      </c>
      <c r="M158" s="2489">
        <v>1301.7</v>
      </c>
    </row>
    <row r="159" spans="1:13" ht="39" customHeight="1">
      <c r="A159" s="1747" t="s">
        <v>1160</v>
      </c>
      <c r="B159" s="648">
        <v>968</v>
      </c>
      <c r="C159" s="648">
        <v>104</v>
      </c>
      <c r="D159" s="648" t="s">
        <v>477</v>
      </c>
      <c r="E159" s="648"/>
      <c r="F159" s="1748">
        <v>100</v>
      </c>
      <c r="G159" s="1748"/>
      <c r="H159" s="1756">
        <f>SUM(I159:L159)</f>
        <v>1301.673</v>
      </c>
      <c r="I159" s="1757">
        <f t="shared" si="13"/>
        <v>287.876</v>
      </c>
      <c r="J159" s="1757">
        <f t="shared" si="13"/>
        <v>382.742</v>
      </c>
      <c r="K159" s="1757">
        <f t="shared" si="13"/>
        <v>141.805</v>
      </c>
      <c r="L159" s="1756">
        <f t="shared" si="13"/>
        <v>489.25</v>
      </c>
      <c r="M159" s="2489"/>
    </row>
    <row r="160" spans="1:13" ht="15" customHeight="1">
      <c r="A160" s="1078" t="s">
        <v>1016</v>
      </c>
      <c r="B160" s="1085">
        <v>968</v>
      </c>
      <c r="C160" s="1085">
        <v>104</v>
      </c>
      <c r="D160" s="1085" t="s">
        <v>477</v>
      </c>
      <c r="E160" s="1085">
        <v>500</v>
      </c>
      <c r="F160" s="1079">
        <v>121</v>
      </c>
      <c r="G160" s="1079"/>
      <c r="H160" s="1758">
        <f>H161</f>
        <v>1301.6730000000002</v>
      </c>
      <c r="I160" s="1759">
        <f t="shared" si="13"/>
        <v>287.876</v>
      </c>
      <c r="J160" s="1087">
        <f t="shared" si="13"/>
        <v>382.742</v>
      </c>
      <c r="K160" s="1086">
        <f t="shared" si="13"/>
        <v>141.805</v>
      </c>
      <c r="L160" s="1086">
        <f t="shared" si="13"/>
        <v>489.25</v>
      </c>
      <c r="M160" s="2489"/>
    </row>
    <row r="161" spans="1:13" ht="12.75" customHeight="1">
      <c r="A161" s="290" t="s">
        <v>323</v>
      </c>
      <c r="B161" s="297">
        <v>968</v>
      </c>
      <c r="C161" s="297">
        <v>104</v>
      </c>
      <c r="D161" s="297" t="s">
        <v>331</v>
      </c>
      <c r="E161" s="297">
        <v>500</v>
      </c>
      <c r="F161" s="303">
        <v>121</v>
      </c>
      <c r="G161" s="303">
        <v>210</v>
      </c>
      <c r="H161" s="308">
        <f>SUM(H162:H163)</f>
        <v>1301.6730000000002</v>
      </c>
      <c r="I161" s="775">
        <f>SUM(I162:I163)</f>
        <v>287.876</v>
      </c>
      <c r="J161" s="775">
        <f>SUM(J162:J163)</f>
        <v>382.742</v>
      </c>
      <c r="K161" s="308">
        <f>SUM(K162:K163)</f>
        <v>141.805</v>
      </c>
      <c r="L161" s="308">
        <f>SUM(L162:L163)</f>
        <v>489.25</v>
      </c>
      <c r="M161" s="2489">
        <v>1301.7</v>
      </c>
    </row>
    <row r="162" spans="1:13" ht="15" customHeight="1">
      <c r="A162" s="291" t="s">
        <v>105</v>
      </c>
      <c r="B162" s="298">
        <v>968</v>
      </c>
      <c r="C162" s="298">
        <v>104</v>
      </c>
      <c r="D162" s="298" t="s">
        <v>331</v>
      </c>
      <c r="E162" s="298">
        <v>500</v>
      </c>
      <c r="F162" s="304">
        <v>121</v>
      </c>
      <c r="G162" s="304">
        <v>211</v>
      </c>
      <c r="H162" s="315">
        <f>SUM(I162:L162)</f>
        <v>1039.275</v>
      </c>
      <c r="I162" s="2416">
        <v>222.03</v>
      </c>
      <c r="J162" s="2416">
        <f>222.03+71.935</f>
        <v>293.96500000000003</v>
      </c>
      <c r="K162" s="315">
        <f>222.03-71.935-68.609</f>
        <v>81.486</v>
      </c>
      <c r="L162" s="309">
        <f>222.035+68.609+151.15</f>
        <v>441.794</v>
      </c>
      <c r="M162" s="2489">
        <v>1039.3</v>
      </c>
    </row>
    <row r="163" spans="1:13" ht="15" customHeight="1">
      <c r="A163" s="291" t="s">
        <v>325</v>
      </c>
      <c r="B163" s="298">
        <v>968</v>
      </c>
      <c r="C163" s="298">
        <v>104</v>
      </c>
      <c r="D163" s="298" t="s">
        <v>331</v>
      </c>
      <c r="E163" s="298">
        <v>500</v>
      </c>
      <c r="F163" s="304">
        <v>121</v>
      </c>
      <c r="G163" s="304">
        <v>213</v>
      </c>
      <c r="H163" s="309">
        <f>SUM(I163:L163)</f>
        <v>262.398</v>
      </c>
      <c r="I163" s="2289">
        <f>67.053-1.207</f>
        <v>65.846</v>
      </c>
      <c r="J163" s="2289">
        <f>67.053+1.207+20.517</f>
        <v>88.77699999999999</v>
      </c>
      <c r="K163" s="309">
        <f>67.053-20.517+13.783</f>
        <v>60.319</v>
      </c>
      <c r="L163" s="309">
        <f>27.95+0.4-13.783+11.124+21.765</f>
        <v>47.456</v>
      </c>
      <c r="M163" s="2489">
        <v>262.4</v>
      </c>
    </row>
    <row r="164" spans="1:13" ht="12.75">
      <c r="A164" s="652" t="s">
        <v>936</v>
      </c>
      <c r="B164" s="107">
        <v>968</v>
      </c>
      <c r="C164" s="107">
        <v>104</v>
      </c>
      <c r="D164" s="107"/>
      <c r="E164" s="298"/>
      <c r="F164" s="304"/>
      <c r="G164" s="304"/>
      <c r="H164" s="650">
        <f>SUM(I164:L164)</f>
        <v>24519.85</v>
      </c>
      <c r="I164" s="777">
        <f>I165+I215</f>
        <v>5690.449</v>
      </c>
      <c r="J164" s="777">
        <f>J165+J215</f>
        <v>5902.365999999999</v>
      </c>
      <c r="K164" s="777">
        <f>K165+K215</f>
        <v>5330.318</v>
      </c>
      <c r="L164" s="650">
        <f>L165+L215</f>
        <v>7596.717</v>
      </c>
      <c r="M164" s="2489"/>
    </row>
    <row r="165" spans="1:14" ht="27.75" customHeight="1">
      <c r="A165" s="287" t="s">
        <v>54</v>
      </c>
      <c r="B165" s="107">
        <v>968</v>
      </c>
      <c r="C165" s="107">
        <v>104</v>
      </c>
      <c r="D165" s="107" t="s">
        <v>52</v>
      </c>
      <c r="E165" s="107"/>
      <c r="F165" s="305"/>
      <c r="G165" s="305"/>
      <c r="H165" s="650">
        <f>SUM(I165:L165)</f>
        <v>24514.25</v>
      </c>
      <c r="I165" s="650">
        <f>I166+I172+I208+I194</f>
        <v>5690.449</v>
      </c>
      <c r="J165" s="650">
        <f>J166+J172+J208+J194</f>
        <v>5902.365999999999</v>
      </c>
      <c r="K165" s="650">
        <f>K166+K172+K208+K194</f>
        <v>5324.718</v>
      </c>
      <c r="L165" s="650">
        <f>L166+L172+L208+L194</f>
        <v>7596.717</v>
      </c>
      <c r="M165" s="2489">
        <v>24514.3</v>
      </c>
      <c r="N165" s="833"/>
    </row>
    <row r="166" spans="1:14" ht="42.75" customHeight="1">
      <c r="A166" s="1747" t="s">
        <v>1160</v>
      </c>
      <c r="B166" s="648">
        <v>968</v>
      </c>
      <c r="C166" s="648">
        <v>104</v>
      </c>
      <c r="D166" s="648" t="s">
        <v>52</v>
      </c>
      <c r="E166" s="648"/>
      <c r="F166" s="1748">
        <v>100</v>
      </c>
      <c r="G166" s="1748"/>
      <c r="H166" s="639">
        <f>SUM(I166:L166)</f>
        <v>19466.561</v>
      </c>
      <c r="I166" s="639">
        <f>I167</f>
        <v>4449.576</v>
      </c>
      <c r="J166" s="639">
        <f>J167</f>
        <v>4914.623</v>
      </c>
      <c r="K166" s="639">
        <f>K167</f>
        <v>4613.874</v>
      </c>
      <c r="L166" s="639">
        <f>L167</f>
        <v>5488.487999999999</v>
      </c>
      <c r="M166" s="2489">
        <v>19466.6</v>
      </c>
      <c r="N166" s="833"/>
    </row>
    <row r="167" spans="1:14" ht="12.75">
      <c r="A167" s="1078" t="s">
        <v>1016</v>
      </c>
      <c r="B167" s="1085">
        <v>968</v>
      </c>
      <c r="C167" s="1085">
        <v>104</v>
      </c>
      <c r="D167" s="1085" t="s">
        <v>52</v>
      </c>
      <c r="E167" s="1085">
        <v>500</v>
      </c>
      <c r="F167" s="1079">
        <v>121</v>
      </c>
      <c r="G167" s="1079"/>
      <c r="H167" s="1086">
        <f aca="true" t="shared" si="14" ref="H167:L168">H168</f>
        <v>19466.560999999998</v>
      </c>
      <c r="I167" s="1086">
        <f t="shared" si="14"/>
        <v>4449.576</v>
      </c>
      <c r="J167" s="1086">
        <f t="shared" si="14"/>
        <v>4914.623</v>
      </c>
      <c r="K167" s="1086">
        <f t="shared" si="14"/>
        <v>4613.874</v>
      </c>
      <c r="L167" s="1086">
        <f t="shared" si="14"/>
        <v>5488.487999999999</v>
      </c>
      <c r="M167" s="2489"/>
      <c r="N167" s="833"/>
    </row>
    <row r="168" spans="1:14" ht="12.75">
      <c r="A168" s="288" t="s">
        <v>326</v>
      </c>
      <c r="B168" s="97">
        <v>968</v>
      </c>
      <c r="C168" s="97">
        <v>104</v>
      </c>
      <c r="D168" s="97" t="s">
        <v>59</v>
      </c>
      <c r="E168" s="97">
        <v>500</v>
      </c>
      <c r="F168" s="302">
        <v>121</v>
      </c>
      <c r="G168" s="302">
        <v>200</v>
      </c>
      <c r="H168" s="1534">
        <f t="shared" si="14"/>
        <v>19466.560999999998</v>
      </c>
      <c r="I168" s="1534">
        <f t="shared" si="14"/>
        <v>4449.576</v>
      </c>
      <c r="J168" s="1534">
        <f t="shared" si="14"/>
        <v>4914.623</v>
      </c>
      <c r="K168" s="1534">
        <f t="shared" si="14"/>
        <v>4613.874</v>
      </c>
      <c r="L168" s="1534">
        <f t="shared" si="14"/>
        <v>5488.487999999999</v>
      </c>
      <c r="M168" s="2489"/>
      <c r="N168" s="1065"/>
    </row>
    <row r="169" spans="1:14" ht="12.75">
      <c r="A169" s="290" t="s">
        <v>323</v>
      </c>
      <c r="B169" s="297">
        <v>968</v>
      </c>
      <c r="C169" s="297">
        <v>104</v>
      </c>
      <c r="D169" s="297" t="s">
        <v>59</v>
      </c>
      <c r="E169" s="297">
        <v>500</v>
      </c>
      <c r="F169" s="303">
        <v>121</v>
      </c>
      <c r="G169" s="303">
        <v>210</v>
      </c>
      <c r="H169" s="2270">
        <f>SUM(H170:H171)</f>
        <v>19466.560999999998</v>
      </c>
      <c r="I169" s="2269">
        <f>SUM(I170:I171)</f>
        <v>4449.576</v>
      </c>
      <c r="J169" s="2269">
        <f>SUM(J170:J171)</f>
        <v>4914.623</v>
      </c>
      <c r="K169" s="2270">
        <f>SUM(K170:K171)</f>
        <v>4613.874</v>
      </c>
      <c r="L169" s="2270">
        <f>SUM(L170:L171)</f>
        <v>5488.487999999999</v>
      </c>
      <c r="M169" s="2489">
        <v>19466.6</v>
      </c>
      <c r="N169" s="833"/>
    </row>
    <row r="170" spans="1:14" ht="12.75">
      <c r="A170" s="291" t="s">
        <v>105</v>
      </c>
      <c r="B170" s="298">
        <v>968</v>
      </c>
      <c r="C170" s="298">
        <v>104</v>
      </c>
      <c r="D170" s="298" t="s">
        <v>59</v>
      </c>
      <c r="E170" s="298">
        <v>500</v>
      </c>
      <c r="F170" s="304">
        <v>121</v>
      </c>
      <c r="G170" s="304">
        <v>211</v>
      </c>
      <c r="H170" s="1532">
        <f aca="true" t="shared" si="15" ref="H170:H184">SUM(I170:L170)</f>
        <v>15021.790999999997</v>
      </c>
      <c r="I170" s="1533">
        <f>3773.49-363.116</f>
        <v>3410.374</v>
      </c>
      <c r="J170" s="1533">
        <f>3773.489+363.116-473.708</f>
        <v>3662.8969999999995</v>
      </c>
      <c r="K170" s="2273">
        <f>3773.49+473.708-725.189</f>
        <v>3522.0089999999996</v>
      </c>
      <c r="L170" s="2273">
        <f>3773.489+725.189-72.167</f>
        <v>4426.5109999999995</v>
      </c>
      <c r="M170" s="2489">
        <v>15021.8</v>
      </c>
      <c r="N170" s="833"/>
    </row>
    <row r="171" spans="1:14" ht="12.75">
      <c r="A171" s="291" t="s">
        <v>325</v>
      </c>
      <c r="B171" s="298">
        <v>968</v>
      </c>
      <c r="C171" s="298">
        <v>104</v>
      </c>
      <c r="D171" s="298" t="s">
        <v>59</v>
      </c>
      <c r="E171" s="298">
        <v>500</v>
      </c>
      <c r="F171" s="304">
        <v>121</v>
      </c>
      <c r="G171" s="304">
        <v>213</v>
      </c>
      <c r="H171" s="1532">
        <f t="shared" si="15"/>
        <v>4444.7699999999995</v>
      </c>
      <c r="I171" s="2272">
        <f>1139.595-100.393</f>
        <v>1039.202</v>
      </c>
      <c r="J171" s="2272">
        <f>1139.595+100.393+11.738</f>
        <v>1251.726</v>
      </c>
      <c r="K171" s="2273">
        <f>1139.595-11.738-35.992</f>
        <v>1091.865</v>
      </c>
      <c r="L171" s="2273">
        <f>1117.946+0.96+35.992+7.827-100.748</f>
        <v>1061.9769999999999</v>
      </c>
      <c r="M171" s="2489">
        <v>4444.8</v>
      </c>
      <c r="N171" s="833"/>
    </row>
    <row r="172" spans="1:14" ht="17.25" customHeight="1">
      <c r="A172" s="310" t="s">
        <v>1158</v>
      </c>
      <c r="B172" s="648">
        <v>968</v>
      </c>
      <c r="C172" s="648">
        <v>104</v>
      </c>
      <c r="D172" s="648" t="s">
        <v>52</v>
      </c>
      <c r="E172" s="648">
        <v>500</v>
      </c>
      <c r="F172" s="1748">
        <v>200</v>
      </c>
      <c r="G172" s="1748"/>
      <c r="H172" s="639">
        <f t="shared" si="15"/>
        <v>4975.189</v>
      </c>
      <c r="I172" s="639">
        <f>I173+I182</f>
        <v>1183.806</v>
      </c>
      <c r="J172" s="639">
        <f>J173+J182</f>
        <v>979.9049999999999</v>
      </c>
      <c r="K172" s="639">
        <f>K173+K182</f>
        <v>710.8439999999999</v>
      </c>
      <c r="L172" s="639">
        <f>L173+L182</f>
        <v>2100.634</v>
      </c>
      <c r="M172" s="2489">
        <v>4975.2</v>
      </c>
      <c r="N172" s="833"/>
    </row>
    <row r="173" spans="1:14" ht="24">
      <c r="A173" s="1078" t="s">
        <v>1019</v>
      </c>
      <c r="B173" s="1085">
        <v>968</v>
      </c>
      <c r="C173" s="1085">
        <v>104</v>
      </c>
      <c r="D173" s="1085" t="s">
        <v>52</v>
      </c>
      <c r="E173" s="1085"/>
      <c r="F173" s="1079">
        <v>242</v>
      </c>
      <c r="G173" s="1079"/>
      <c r="H173" s="1086">
        <f t="shared" si="15"/>
        <v>1654.5569999999998</v>
      </c>
      <c r="I173" s="1086">
        <f>I174+I179</f>
        <v>481.332</v>
      </c>
      <c r="J173" s="1086">
        <f>J174+J179</f>
        <v>213.71900000000008</v>
      </c>
      <c r="K173" s="1086">
        <f>K174+K179</f>
        <v>258.84899999999993</v>
      </c>
      <c r="L173" s="1086">
        <f>L174+L179</f>
        <v>700.6569999999999</v>
      </c>
      <c r="M173" s="2489">
        <f>M176+M177+M178+M180+M181</f>
        <v>1654.6</v>
      </c>
      <c r="N173" s="833"/>
    </row>
    <row r="174" spans="1:14" ht="12.75">
      <c r="A174" s="288" t="s">
        <v>326</v>
      </c>
      <c r="B174" s="97">
        <v>968</v>
      </c>
      <c r="C174" s="97">
        <v>104</v>
      </c>
      <c r="D174" s="97" t="s">
        <v>59</v>
      </c>
      <c r="E174" s="97">
        <v>500</v>
      </c>
      <c r="F174" s="302">
        <v>242</v>
      </c>
      <c r="G174" s="302">
        <v>200</v>
      </c>
      <c r="H174" s="2184">
        <f t="shared" si="15"/>
        <v>1035.887</v>
      </c>
      <c r="I174" s="2184">
        <f>I175</f>
        <v>289.666</v>
      </c>
      <c r="J174" s="2184">
        <f>J175</f>
        <v>213.71900000000008</v>
      </c>
      <c r="K174" s="2184">
        <f>K175</f>
        <v>258.84899999999993</v>
      </c>
      <c r="L174" s="2184">
        <f>L175</f>
        <v>273.65299999999996</v>
      </c>
      <c r="M174" s="2489"/>
      <c r="N174" s="833"/>
    </row>
    <row r="175" spans="1:14" ht="12.75">
      <c r="A175" s="290" t="s">
        <v>327</v>
      </c>
      <c r="B175" s="297">
        <v>968</v>
      </c>
      <c r="C175" s="297">
        <v>104</v>
      </c>
      <c r="D175" s="297" t="s">
        <v>59</v>
      </c>
      <c r="E175" s="297">
        <v>500</v>
      </c>
      <c r="F175" s="303">
        <v>242</v>
      </c>
      <c r="G175" s="303">
        <v>220</v>
      </c>
      <c r="H175" s="2249">
        <f t="shared" si="15"/>
        <v>1035.887</v>
      </c>
      <c r="I175" s="2248">
        <f>SUM(I176:I178)</f>
        <v>289.666</v>
      </c>
      <c r="J175" s="2248">
        <f>SUM(J176:J178)</f>
        <v>213.71900000000008</v>
      </c>
      <c r="K175" s="2248">
        <f>SUM(K176:K178)</f>
        <v>258.84899999999993</v>
      </c>
      <c r="L175" s="2248">
        <f>SUM(L176:L178)</f>
        <v>273.65299999999996</v>
      </c>
      <c r="M175" s="2489">
        <v>1035.9</v>
      </c>
      <c r="N175" s="833"/>
    </row>
    <row r="176" spans="1:14" ht="12.75">
      <c r="A176" s="291" t="s">
        <v>110</v>
      </c>
      <c r="B176" s="298">
        <v>968</v>
      </c>
      <c r="C176" s="298">
        <v>104</v>
      </c>
      <c r="D176" s="298" t="s">
        <v>59</v>
      </c>
      <c r="E176" s="298">
        <v>500</v>
      </c>
      <c r="F176" s="304">
        <v>242</v>
      </c>
      <c r="G176" s="304">
        <v>221</v>
      </c>
      <c r="H176" s="1532">
        <f t="shared" si="15"/>
        <v>279.342</v>
      </c>
      <c r="I176" s="1533">
        <f>84.681-0.007-67.278</f>
        <v>17.395999999999987</v>
      </c>
      <c r="J176" s="1533">
        <f>84.681-0.007+67.278-62.809</f>
        <v>89.143</v>
      </c>
      <c r="K176" s="1533">
        <f>84.681-0.007+62.809-65.791</f>
        <v>81.69200000000001</v>
      </c>
      <c r="L176" s="1532">
        <f>84.681-0.007+65.791-59.354</f>
        <v>91.11099999999998</v>
      </c>
      <c r="M176" s="2489">
        <v>279.3</v>
      </c>
      <c r="N176" s="833"/>
    </row>
    <row r="177" spans="1:14" ht="12.75">
      <c r="A177" s="291" t="s">
        <v>328</v>
      </c>
      <c r="B177" s="298">
        <v>968</v>
      </c>
      <c r="C177" s="298">
        <v>104</v>
      </c>
      <c r="D177" s="298" t="s">
        <v>59</v>
      </c>
      <c r="E177" s="298">
        <v>500</v>
      </c>
      <c r="F177" s="304">
        <v>242</v>
      </c>
      <c r="G177" s="304">
        <v>225</v>
      </c>
      <c r="H177" s="1532">
        <f t="shared" si="15"/>
        <v>193.8</v>
      </c>
      <c r="I177" s="1533">
        <f>102.786-39.836</f>
        <v>62.95</v>
      </c>
      <c r="J177" s="1533">
        <f>102.786-26.716-42.12</f>
        <v>33.949999999999996</v>
      </c>
      <c r="K177" s="1532">
        <f>102.786-33.276+42.12-48.68</f>
        <v>62.949999999999996</v>
      </c>
      <c r="L177" s="1532">
        <f>102.786-33.276+48.68-84.24</f>
        <v>33.95</v>
      </c>
      <c r="M177" s="2489">
        <v>193.8</v>
      </c>
      <c r="N177" s="833"/>
    </row>
    <row r="178" spans="1:14" ht="12.75">
      <c r="A178" s="291" t="s">
        <v>329</v>
      </c>
      <c r="B178" s="298">
        <v>968</v>
      </c>
      <c r="C178" s="298">
        <v>104</v>
      </c>
      <c r="D178" s="298" t="s">
        <v>59</v>
      </c>
      <c r="E178" s="298">
        <v>500</v>
      </c>
      <c r="F178" s="304">
        <v>242</v>
      </c>
      <c r="G178" s="304">
        <v>226</v>
      </c>
      <c r="H178" s="1532">
        <f t="shared" si="15"/>
        <v>562.745</v>
      </c>
      <c r="I178" s="2290">
        <f>482.657-273.337</f>
        <v>209.32</v>
      </c>
      <c r="J178" s="2290">
        <f>200.657+290.405-108.41-5.4-286.626</f>
        <v>90.62600000000009</v>
      </c>
      <c r="K178" s="2290">
        <f>284.787-0.376+17.034-38.193+286.626-435.671</f>
        <v>114.20699999999994</v>
      </c>
      <c r="L178" s="2290">
        <f>163.657+17.034-38.193+435.671-429.577</f>
        <v>148.59199999999998</v>
      </c>
      <c r="M178" s="2489">
        <v>562.8</v>
      </c>
      <c r="N178" s="833"/>
    </row>
    <row r="179" spans="1:14" ht="12.75">
      <c r="A179" s="288" t="s">
        <v>330</v>
      </c>
      <c r="B179" s="97">
        <v>968</v>
      </c>
      <c r="C179" s="97">
        <v>104</v>
      </c>
      <c r="D179" s="97" t="s">
        <v>59</v>
      </c>
      <c r="E179" s="97">
        <v>500</v>
      </c>
      <c r="F179" s="577">
        <v>242</v>
      </c>
      <c r="G179" s="302">
        <v>300</v>
      </c>
      <c r="H179" s="1534">
        <f t="shared" si="15"/>
        <v>618.6699999999998</v>
      </c>
      <c r="I179" s="1535">
        <f>SUM(I180:I181)</f>
        <v>191.666</v>
      </c>
      <c r="J179" s="1535">
        <f>SUM(J180:J181)</f>
        <v>0</v>
      </c>
      <c r="K179" s="1535">
        <f>SUM(K180:K181)</f>
        <v>0</v>
      </c>
      <c r="L179" s="1534">
        <f>SUM(L180:L181)</f>
        <v>427.0039999999999</v>
      </c>
      <c r="M179" s="2489">
        <v>618.7</v>
      </c>
      <c r="N179" s="833"/>
    </row>
    <row r="180" spans="1:14" ht="12.75">
      <c r="A180" s="290" t="s">
        <v>225</v>
      </c>
      <c r="B180" s="297">
        <v>968</v>
      </c>
      <c r="C180" s="297">
        <v>104</v>
      </c>
      <c r="D180" s="297" t="s">
        <v>59</v>
      </c>
      <c r="E180" s="297">
        <v>500</v>
      </c>
      <c r="F180" s="304">
        <v>242</v>
      </c>
      <c r="G180" s="304">
        <v>310</v>
      </c>
      <c r="H180" s="1532">
        <f t="shared" si="15"/>
        <v>229.298</v>
      </c>
      <c r="I180" s="1533">
        <f>250-250</f>
        <v>0</v>
      </c>
      <c r="J180" s="1533">
        <f>50+250-300</f>
        <v>0</v>
      </c>
      <c r="K180" s="1532">
        <f>300-300</f>
        <v>0</v>
      </c>
      <c r="L180" s="1532">
        <f>300-70.702</f>
        <v>229.298</v>
      </c>
      <c r="M180" s="2489">
        <v>229.3</v>
      </c>
      <c r="N180" s="833"/>
    </row>
    <row r="181" spans="1:14" ht="12.75">
      <c r="A181" s="290" t="s">
        <v>226</v>
      </c>
      <c r="B181" s="297">
        <v>968</v>
      </c>
      <c r="C181" s="297">
        <v>104</v>
      </c>
      <c r="D181" s="297" t="s">
        <v>59</v>
      </c>
      <c r="E181" s="297">
        <v>500</v>
      </c>
      <c r="F181" s="304">
        <v>242</v>
      </c>
      <c r="G181" s="304">
        <v>340</v>
      </c>
      <c r="H181" s="1532">
        <f t="shared" si="15"/>
        <v>389.37199999999996</v>
      </c>
      <c r="I181" s="1533">
        <f>430-238.334</f>
        <v>191.666</v>
      </c>
      <c r="J181" s="1533">
        <f>0+238.334-238.334</f>
        <v>0</v>
      </c>
      <c r="K181" s="1532">
        <f>400+238.334-638.334</f>
        <v>0</v>
      </c>
      <c r="L181" s="1532">
        <f>638.334-20-337.17-83.458</f>
        <v>197.70599999999993</v>
      </c>
      <c r="M181" s="2489">
        <v>389.4</v>
      </c>
      <c r="N181" s="833"/>
    </row>
    <row r="182" spans="1:14" ht="12.75">
      <c r="A182" s="1078" t="s">
        <v>1002</v>
      </c>
      <c r="B182" s="1085">
        <v>968</v>
      </c>
      <c r="C182" s="1085">
        <v>104</v>
      </c>
      <c r="D182" s="1085" t="s">
        <v>52</v>
      </c>
      <c r="E182" s="1085"/>
      <c r="F182" s="1079">
        <v>244</v>
      </c>
      <c r="G182" s="1088"/>
      <c r="H182" s="2265">
        <f t="shared" si="15"/>
        <v>3320.6319999999996</v>
      </c>
      <c r="I182" s="2291">
        <f>I183+I191</f>
        <v>702.4739999999999</v>
      </c>
      <c r="J182" s="2291">
        <f>J183+J191</f>
        <v>766.1859999999998</v>
      </c>
      <c r="K182" s="2291">
        <f>K183+K191</f>
        <v>451.995</v>
      </c>
      <c r="L182" s="2265">
        <f>L183+L191</f>
        <v>1399.977</v>
      </c>
      <c r="M182" s="2489">
        <v>3320.6</v>
      </c>
      <c r="N182" s="833"/>
    </row>
    <row r="183" spans="1:14" ht="12.75">
      <c r="A183" s="288" t="s">
        <v>326</v>
      </c>
      <c r="B183" s="97">
        <v>968</v>
      </c>
      <c r="C183" s="97">
        <v>104</v>
      </c>
      <c r="D183" s="97" t="s">
        <v>59</v>
      </c>
      <c r="E183" s="97">
        <v>500</v>
      </c>
      <c r="F183" s="302">
        <v>244</v>
      </c>
      <c r="G183" s="302">
        <v>200</v>
      </c>
      <c r="H183" s="2184">
        <f t="shared" si="15"/>
        <v>2871.84</v>
      </c>
      <c r="I183" s="2184">
        <f>I184</f>
        <v>571.904</v>
      </c>
      <c r="J183" s="2184">
        <f>J184</f>
        <v>753.2289999999998</v>
      </c>
      <c r="K183" s="2184">
        <f>K184</f>
        <v>447.67</v>
      </c>
      <c r="L183" s="2184">
        <f>L184</f>
        <v>1099.037</v>
      </c>
      <c r="M183" s="2489">
        <v>2871.8</v>
      </c>
      <c r="N183" s="833"/>
    </row>
    <row r="184" spans="1:14" ht="12.75">
      <c r="A184" s="290" t="s">
        <v>327</v>
      </c>
      <c r="B184" s="297">
        <v>968</v>
      </c>
      <c r="C184" s="297">
        <v>104</v>
      </c>
      <c r="D184" s="297" t="s">
        <v>59</v>
      </c>
      <c r="E184" s="297">
        <v>500</v>
      </c>
      <c r="F184" s="303">
        <v>244</v>
      </c>
      <c r="G184" s="303">
        <v>220</v>
      </c>
      <c r="H184" s="2249">
        <f t="shared" si="15"/>
        <v>2871.84</v>
      </c>
      <c r="I184" s="2248">
        <f>SUM(I185:I190)</f>
        <v>571.904</v>
      </c>
      <c r="J184" s="2248">
        <f>SUM(J185:J190)</f>
        <v>753.2289999999998</v>
      </c>
      <c r="K184" s="2248">
        <f>SUM(K185:K190)</f>
        <v>447.67</v>
      </c>
      <c r="L184" s="2249">
        <f>SUM(L185:L190)</f>
        <v>1099.037</v>
      </c>
      <c r="M184" s="2489"/>
      <c r="N184" s="833"/>
    </row>
    <row r="185" spans="1:14" ht="12.75">
      <c r="A185" s="291" t="s">
        <v>110</v>
      </c>
      <c r="B185" s="298">
        <v>968</v>
      </c>
      <c r="C185" s="298">
        <v>104</v>
      </c>
      <c r="D185" s="298" t="s">
        <v>59</v>
      </c>
      <c r="E185" s="298">
        <v>500</v>
      </c>
      <c r="F185" s="304">
        <v>244</v>
      </c>
      <c r="G185" s="304">
        <v>221</v>
      </c>
      <c r="H185" s="1532">
        <f aca="true" t="shared" si="16" ref="H185:H196">SUM(I185:L185)</f>
        <v>51.2</v>
      </c>
      <c r="I185" s="1533">
        <f>7.8-7.8</f>
        <v>0</v>
      </c>
      <c r="J185" s="1533">
        <f>7.8+7.8-10.511</f>
        <v>5.089</v>
      </c>
      <c r="K185" s="1533">
        <f>7.8+10.511</f>
        <v>18.311</v>
      </c>
      <c r="L185" s="1532">
        <f>7.8+20</f>
        <v>27.8</v>
      </c>
      <c r="M185" s="2489">
        <v>51.2</v>
      </c>
      <c r="N185" s="833">
        <f>SUM(M185:M190)</f>
        <v>2871.7999999999997</v>
      </c>
    </row>
    <row r="186" spans="1:14" ht="12.75">
      <c r="A186" s="291" t="s">
        <v>111</v>
      </c>
      <c r="B186" s="298">
        <v>968</v>
      </c>
      <c r="C186" s="298">
        <v>104</v>
      </c>
      <c r="D186" s="298" t="s">
        <v>59</v>
      </c>
      <c r="E186" s="298">
        <v>500</v>
      </c>
      <c r="F186" s="304">
        <v>244</v>
      </c>
      <c r="G186" s="304">
        <v>222</v>
      </c>
      <c r="H186" s="1532">
        <f t="shared" si="16"/>
        <v>88.06000000000002</v>
      </c>
      <c r="I186" s="1533">
        <f>32.445-11.025</f>
        <v>21.42</v>
      </c>
      <c r="J186" s="1533">
        <f>32.445+11.025-22.05</f>
        <v>21.419999999999998</v>
      </c>
      <c r="K186" s="1532">
        <f>32.445+22.05-33.075</f>
        <v>21.42</v>
      </c>
      <c r="L186" s="1532">
        <f>32.445+33.075-41.72</f>
        <v>23.80000000000001</v>
      </c>
      <c r="M186" s="2489">
        <v>88.1</v>
      </c>
      <c r="N186" s="833"/>
    </row>
    <row r="187" spans="1:15" ht="12.75">
      <c r="A187" s="291" t="s">
        <v>112</v>
      </c>
      <c r="B187" s="298">
        <v>968</v>
      </c>
      <c r="C187" s="298">
        <v>104</v>
      </c>
      <c r="D187" s="298" t="s">
        <v>59</v>
      </c>
      <c r="E187" s="298">
        <v>500</v>
      </c>
      <c r="F187" s="304">
        <v>244</v>
      </c>
      <c r="G187" s="304">
        <v>223</v>
      </c>
      <c r="H187" s="1532">
        <f t="shared" si="16"/>
        <v>805.277</v>
      </c>
      <c r="I187" s="1533">
        <f>150.381+128.671</f>
        <v>279.052</v>
      </c>
      <c r="J187" s="1533">
        <f>150.381+81.329-147.001</f>
        <v>84.70899999999997</v>
      </c>
      <c r="K187" s="1532">
        <f>150.381+147.001-279.473</f>
        <v>17.908999999999992</v>
      </c>
      <c r="L187" s="1532">
        <f>150.381+279.473-6.247</f>
        <v>423.607</v>
      </c>
      <c r="M187" s="2489">
        <v>805.3</v>
      </c>
      <c r="N187" s="833"/>
      <c r="O187" s="833"/>
    </row>
    <row r="188" spans="1:14" ht="12.75">
      <c r="A188" s="291" t="s">
        <v>113</v>
      </c>
      <c r="B188" s="298">
        <v>968</v>
      </c>
      <c r="C188" s="298">
        <v>104</v>
      </c>
      <c r="D188" s="298" t="s">
        <v>59</v>
      </c>
      <c r="E188" s="298">
        <v>500</v>
      </c>
      <c r="F188" s="304">
        <v>244</v>
      </c>
      <c r="G188" s="304">
        <v>224</v>
      </c>
      <c r="H188" s="1532">
        <f t="shared" si="16"/>
        <v>918.366</v>
      </c>
      <c r="I188" s="1533">
        <f>229.53-85.65</f>
        <v>143.88</v>
      </c>
      <c r="J188" s="1533">
        <f>229.53+90.65-105.879</f>
        <v>214.301</v>
      </c>
      <c r="K188" s="1532">
        <f>229.53+6+105.879-117.104</f>
        <v>224.305</v>
      </c>
      <c r="L188" s="1532">
        <f>229.53+6+117.104-16.754</f>
        <v>335.88</v>
      </c>
      <c r="M188" s="2489">
        <v>918.3</v>
      </c>
      <c r="N188" s="833"/>
    </row>
    <row r="189" spans="1:14" ht="12.75">
      <c r="A189" s="291" t="s">
        <v>328</v>
      </c>
      <c r="B189" s="298">
        <v>968</v>
      </c>
      <c r="C189" s="298">
        <v>104</v>
      </c>
      <c r="D189" s="298" t="s">
        <v>59</v>
      </c>
      <c r="E189" s="298">
        <v>500</v>
      </c>
      <c r="F189" s="304">
        <v>244</v>
      </c>
      <c r="G189" s="304">
        <v>225</v>
      </c>
      <c r="H189" s="1532">
        <f t="shared" si="16"/>
        <v>405.855</v>
      </c>
      <c r="I189" s="1533">
        <f>22.686+23.492</f>
        <v>46.178</v>
      </c>
      <c r="J189" s="1533">
        <f>22.686+43.06+181.837-18.107</f>
        <v>229.476</v>
      </c>
      <c r="K189" s="1532">
        <f>22.686+33.276+18.107+0.683</f>
        <v>74.75200000000001</v>
      </c>
      <c r="L189" s="1532">
        <f>22.686+33.276-0.683+0.17</f>
        <v>55.449000000000005</v>
      </c>
      <c r="M189" s="2489">
        <v>405.8</v>
      </c>
      <c r="N189" s="833"/>
    </row>
    <row r="190" spans="1:14" ht="12.75">
      <c r="A190" s="291" t="s">
        <v>329</v>
      </c>
      <c r="B190" s="298">
        <v>968</v>
      </c>
      <c r="C190" s="298">
        <v>104</v>
      </c>
      <c r="D190" s="298" t="s">
        <v>59</v>
      </c>
      <c r="E190" s="298">
        <v>500</v>
      </c>
      <c r="F190" s="304">
        <v>244</v>
      </c>
      <c r="G190" s="304">
        <v>226</v>
      </c>
      <c r="H190" s="1532">
        <f t="shared" si="16"/>
        <v>603.082</v>
      </c>
      <c r="I190" s="1533">
        <f>15+66.374</f>
        <v>81.374</v>
      </c>
      <c r="J190" s="1533">
        <f>144.976-10.442+108.41-44.71</f>
        <v>198.23399999999998</v>
      </c>
      <c r="K190" s="1532">
        <f>15+27.966+38.193+44.71-34.896</f>
        <v>90.973</v>
      </c>
      <c r="L190" s="1532">
        <f>15+27.966+38.193+34.896+137+0.171-20.725</f>
        <v>232.501</v>
      </c>
      <c r="M190" s="2489">
        <v>603.1</v>
      </c>
      <c r="N190" s="833"/>
    </row>
    <row r="191" spans="1:14" ht="12.75">
      <c r="A191" s="288" t="s">
        <v>330</v>
      </c>
      <c r="B191" s="97">
        <v>968</v>
      </c>
      <c r="C191" s="97">
        <v>104</v>
      </c>
      <c r="D191" s="97" t="s">
        <v>59</v>
      </c>
      <c r="E191" s="97">
        <v>500</v>
      </c>
      <c r="F191" s="577">
        <v>244</v>
      </c>
      <c r="G191" s="302">
        <v>300</v>
      </c>
      <c r="H191" s="1534">
        <f t="shared" si="16"/>
        <v>448.792</v>
      </c>
      <c r="I191" s="1535">
        <f>SUM(I192:I193)</f>
        <v>130.57</v>
      </c>
      <c r="J191" s="1535">
        <f>SUM(J192:J193)</f>
        <v>12.956999999999997</v>
      </c>
      <c r="K191" s="1534">
        <f>SUM(K192:K193)</f>
        <v>4.324999999999989</v>
      </c>
      <c r="L191" s="1534">
        <f>SUM(L192:L193)</f>
        <v>300.94</v>
      </c>
      <c r="M191" s="2489">
        <v>448.8</v>
      </c>
      <c r="N191" s="833"/>
    </row>
    <row r="192" spans="1:14" ht="12.75">
      <c r="A192" s="290" t="s">
        <v>225</v>
      </c>
      <c r="B192" s="297">
        <v>968</v>
      </c>
      <c r="C192" s="297">
        <v>104</v>
      </c>
      <c r="D192" s="297" t="s">
        <v>59</v>
      </c>
      <c r="E192" s="297">
        <v>500</v>
      </c>
      <c r="F192" s="304">
        <v>244</v>
      </c>
      <c r="G192" s="304">
        <v>310</v>
      </c>
      <c r="H192" s="1532">
        <f t="shared" si="16"/>
        <v>247.073</v>
      </c>
      <c r="I192" s="1533">
        <f>110-0.315</f>
        <v>109.685</v>
      </c>
      <c r="J192" s="1533">
        <f>50-50+5.66</f>
        <v>5.66</v>
      </c>
      <c r="K192" s="1532">
        <v>0</v>
      </c>
      <c r="L192" s="1532">
        <f>200-68.272</f>
        <v>131.728</v>
      </c>
      <c r="M192" s="2489">
        <v>247.1</v>
      </c>
      <c r="N192" s="833"/>
    </row>
    <row r="193" spans="1:14" ht="13.5" customHeight="1">
      <c r="A193" s="290" t="s">
        <v>226</v>
      </c>
      <c r="B193" s="297">
        <v>968</v>
      </c>
      <c r="C193" s="297">
        <v>104</v>
      </c>
      <c r="D193" s="297" t="s">
        <v>59</v>
      </c>
      <c r="E193" s="297">
        <v>500</v>
      </c>
      <c r="F193" s="304">
        <v>244</v>
      </c>
      <c r="G193" s="304">
        <v>340</v>
      </c>
      <c r="H193" s="1532">
        <f t="shared" si="16"/>
        <v>201.719</v>
      </c>
      <c r="I193" s="1533">
        <f>2.472+18.413</f>
        <v>20.885</v>
      </c>
      <c r="J193" s="1533">
        <f>260.272-18.413+5.4-239.962</f>
        <v>7.296999999999997</v>
      </c>
      <c r="K193" s="1532">
        <f>1.272+239.962-236.909</f>
        <v>4.324999999999989</v>
      </c>
      <c r="L193" s="1532">
        <f>1.272+236.909-68.969</f>
        <v>169.212</v>
      </c>
      <c r="M193" s="2489">
        <v>201.7</v>
      </c>
      <c r="N193" s="833"/>
    </row>
    <row r="194" spans="1:14" ht="15.75" customHeight="1">
      <c r="A194" s="310" t="s">
        <v>1159</v>
      </c>
      <c r="B194" s="648">
        <v>968</v>
      </c>
      <c r="C194" s="648">
        <v>104</v>
      </c>
      <c r="D194" s="648" t="s">
        <v>52</v>
      </c>
      <c r="E194" s="648">
        <v>500</v>
      </c>
      <c r="F194" s="1748">
        <v>300</v>
      </c>
      <c r="G194" s="1748"/>
      <c r="H194" s="639">
        <f t="shared" si="16"/>
        <v>57.067</v>
      </c>
      <c r="I194" s="639">
        <f>I195+I205</f>
        <v>57.067</v>
      </c>
      <c r="J194" s="639">
        <f>J195+J205</f>
        <v>0</v>
      </c>
      <c r="K194" s="639">
        <f>K195+K205</f>
        <v>0</v>
      </c>
      <c r="L194" s="639">
        <f>L195+L205</f>
        <v>0</v>
      </c>
      <c r="M194" s="2489">
        <v>57.1</v>
      </c>
      <c r="N194" s="833"/>
    </row>
    <row r="195" spans="1:14" ht="26.25" customHeight="1">
      <c r="A195" s="1078" t="s">
        <v>1285</v>
      </c>
      <c r="B195" s="1085">
        <v>968</v>
      </c>
      <c r="C195" s="1085">
        <v>104</v>
      </c>
      <c r="D195" s="1085" t="s">
        <v>52</v>
      </c>
      <c r="E195" s="1085"/>
      <c r="F195" s="1079">
        <v>321</v>
      </c>
      <c r="G195" s="1079"/>
      <c r="H195" s="1086">
        <f t="shared" si="16"/>
        <v>57.067</v>
      </c>
      <c r="I195" s="1086">
        <f>I197+I202</f>
        <v>57.067</v>
      </c>
      <c r="J195" s="1086">
        <f>J197+J202</f>
        <v>0</v>
      </c>
      <c r="K195" s="1086">
        <f>K197+K202</f>
        <v>0</v>
      </c>
      <c r="L195" s="1086">
        <f>L197+L202</f>
        <v>0</v>
      </c>
      <c r="M195" s="2489"/>
      <c r="N195" s="833"/>
    </row>
    <row r="196" spans="1:14" ht="18.75" customHeight="1">
      <c r="A196" s="288" t="s">
        <v>326</v>
      </c>
      <c r="B196" s="97">
        <v>968</v>
      </c>
      <c r="C196" s="97">
        <v>104</v>
      </c>
      <c r="D196" s="97" t="s">
        <v>59</v>
      </c>
      <c r="E196" s="97">
        <v>500</v>
      </c>
      <c r="F196" s="302">
        <v>321</v>
      </c>
      <c r="G196" s="302">
        <v>200</v>
      </c>
      <c r="H196" s="2184">
        <f t="shared" si="16"/>
        <v>57.067</v>
      </c>
      <c r="I196" s="2184">
        <f>I197</f>
        <v>57.067</v>
      </c>
      <c r="J196" s="2184">
        <f>J197</f>
        <v>0</v>
      </c>
      <c r="K196" s="2184">
        <f>K197</f>
        <v>0</v>
      </c>
      <c r="L196" s="2184">
        <f>L197</f>
        <v>0</v>
      </c>
      <c r="M196" s="2489"/>
      <c r="N196" s="833"/>
    </row>
    <row r="197" spans="1:14" ht="17.25" customHeight="1">
      <c r="A197" s="290" t="s">
        <v>332</v>
      </c>
      <c r="B197" s="297">
        <v>968</v>
      </c>
      <c r="C197" s="297">
        <v>104</v>
      </c>
      <c r="D197" s="297" t="s">
        <v>59</v>
      </c>
      <c r="E197" s="297">
        <v>598</v>
      </c>
      <c r="F197" s="297">
        <v>321</v>
      </c>
      <c r="G197" s="303">
        <v>260</v>
      </c>
      <c r="H197" s="2248">
        <f>H198</f>
        <v>57.067</v>
      </c>
      <c r="I197" s="2285">
        <f aca="true" t="shared" si="17" ref="I197:L198">I198</f>
        <v>57.067</v>
      </c>
      <c r="J197" s="2286">
        <f t="shared" si="17"/>
        <v>0</v>
      </c>
      <c r="K197" s="2286">
        <f t="shared" si="17"/>
        <v>0</v>
      </c>
      <c r="L197" s="2287">
        <f t="shared" si="17"/>
        <v>0</v>
      </c>
      <c r="M197" s="2489"/>
      <c r="N197" s="833"/>
    </row>
    <row r="198" spans="1:14" ht="12.75">
      <c r="A198" s="291" t="s">
        <v>333</v>
      </c>
      <c r="B198" s="298">
        <v>968</v>
      </c>
      <c r="C198" s="298">
        <v>104</v>
      </c>
      <c r="D198" s="298" t="s">
        <v>59</v>
      </c>
      <c r="E198" s="298">
        <v>598</v>
      </c>
      <c r="F198" s="298">
        <v>321</v>
      </c>
      <c r="G198" s="304">
        <v>262</v>
      </c>
      <c r="H198" s="1533">
        <f>SUM(I198:L198)</f>
        <v>57.067</v>
      </c>
      <c r="I198" s="2288">
        <f>56.595+0.472</f>
        <v>57.067</v>
      </c>
      <c r="J198" s="2288">
        <f t="shared" si="17"/>
        <v>0</v>
      </c>
      <c r="K198" s="2288">
        <f t="shared" si="17"/>
        <v>0</v>
      </c>
      <c r="L198" s="2288">
        <f t="shared" si="17"/>
        <v>0</v>
      </c>
      <c r="M198" s="2489"/>
      <c r="N198" s="833"/>
    </row>
    <row r="199" spans="1:14" ht="12.75" hidden="1">
      <c r="A199" s="291"/>
      <c r="B199" s="298"/>
      <c r="C199" s="298"/>
      <c r="D199" s="298"/>
      <c r="E199" s="298"/>
      <c r="F199" s="304"/>
      <c r="G199" s="304"/>
      <c r="H199" s="2174"/>
      <c r="I199" s="2175"/>
      <c r="J199" s="2175"/>
      <c r="K199" s="2174"/>
      <c r="L199" s="2174"/>
      <c r="M199" s="2489"/>
      <c r="N199" s="833"/>
    </row>
    <row r="200" spans="1:14" ht="12.75" hidden="1">
      <c r="A200" s="291"/>
      <c r="B200" s="298"/>
      <c r="C200" s="298"/>
      <c r="D200" s="298"/>
      <c r="E200" s="298"/>
      <c r="F200" s="304"/>
      <c r="G200" s="304"/>
      <c r="H200" s="2176"/>
      <c r="I200" s="2177"/>
      <c r="J200" s="2177"/>
      <c r="K200" s="2176"/>
      <c r="L200" s="2176"/>
      <c r="M200" s="2489"/>
      <c r="N200" s="833"/>
    </row>
    <row r="201" spans="1:14" ht="12.75" hidden="1">
      <c r="A201" s="290"/>
      <c r="B201" s="297"/>
      <c r="C201" s="297"/>
      <c r="D201" s="297"/>
      <c r="E201" s="297"/>
      <c r="F201" s="303"/>
      <c r="G201" s="303"/>
      <c r="H201" s="2178"/>
      <c r="I201" s="2179"/>
      <c r="J201" s="2179"/>
      <c r="K201" s="2178"/>
      <c r="L201" s="2178"/>
      <c r="M201" s="2489"/>
      <c r="N201" s="833"/>
    </row>
    <row r="202" spans="1:14" ht="12.75" hidden="1">
      <c r="A202" s="291"/>
      <c r="B202" s="298"/>
      <c r="C202" s="298"/>
      <c r="D202" s="298"/>
      <c r="E202" s="298"/>
      <c r="F202" s="304"/>
      <c r="G202" s="304"/>
      <c r="H202" s="2174"/>
      <c r="I202" s="2175"/>
      <c r="J202" s="2175"/>
      <c r="K202" s="2174"/>
      <c r="L202" s="2174"/>
      <c r="M202" s="2489"/>
      <c r="N202" s="833"/>
    </row>
    <row r="203" spans="1:14" ht="12.75" hidden="1">
      <c r="A203" s="291"/>
      <c r="B203" s="298"/>
      <c r="C203" s="298"/>
      <c r="D203" s="298"/>
      <c r="E203" s="298"/>
      <c r="F203" s="304"/>
      <c r="G203" s="304"/>
      <c r="H203" s="2174"/>
      <c r="I203" s="2175"/>
      <c r="J203" s="2175"/>
      <c r="K203" s="2174"/>
      <c r="L203" s="2174"/>
      <c r="M203" s="2489"/>
      <c r="N203" s="833"/>
    </row>
    <row r="204" spans="1:14" ht="12.75" customHeight="1" hidden="1">
      <c r="A204" s="291"/>
      <c r="B204" s="298"/>
      <c r="C204" s="298"/>
      <c r="D204" s="298"/>
      <c r="E204" s="298"/>
      <c r="F204" s="304"/>
      <c r="G204" s="304"/>
      <c r="H204" s="2174"/>
      <c r="I204" s="2175"/>
      <c r="J204" s="2175"/>
      <c r="K204" s="2174"/>
      <c r="L204" s="2174"/>
      <c r="M204" s="2489"/>
      <c r="N204" s="833"/>
    </row>
    <row r="205" spans="1:14" ht="12.75" customHeight="1" hidden="1">
      <c r="A205" s="288"/>
      <c r="B205" s="97"/>
      <c r="C205" s="97"/>
      <c r="D205" s="97"/>
      <c r="E205" s="97"/>
      <c r="F205" s="302"/>
      <c r="G205" s="302"/>
      <c r="H205" s="2173"/>
      <c r="I205" s="2180"/>
      <c r="J205" s="2180"/>
      <c r="K205" s="2180"/>
      <c r="L205" s="2173"/>
      <c r="M205" s="2489"/>
      <c r="N205" s="833"/>
    </row>
    <row r="206" spans="1:14" ht="12.75" customHeight="1" hidden="1">
      <c r="A206" s="290"/>
      <c r="B206" s="297"/>
      <c r="C206" s="297"/>
      <c r="D206" s="297"/>
      <c r="E206" s="297"/>
      <c r="F206" s="303"/>
      <c r="G206" s="303"/>
      <c r="H206" s="2178"/>
      <c r="I206" s="2179"/>
      <c r="J206" s="2180"/>
      <c r="K206" s="2173"/>
      <c r="L206" s="2173"/>
      <c r="M206" s="2489"/>
      <c r="N206" s="833"/>
    </row>
    <row r="207" spans="1:14" ht="12.75" customHeight="1" hidden="1">
      <c r="A207" s="290"/>
      <c r="B207" s="297"/>
      <c r="C207" s="297"/>
      <c r="D207" s="297"/>
      <c r="E207" s="297"/>
      <c r="F207" s="303"/>
      <c r="G207" s="303"/>
      <c r="H207" s="2178"/>
      <c r="I207" s="2179"/>
      <c r="J207" s="2179"/>
      <c r="K207" s="2178"/>
      <c r="L207" s="2178"/>
      <c r="M207" s="2489"/>
      <c r="N207" s="833"/>
    </row>
    <row r="208" spans="1:14" ht="18" customHeight="1">
      <c r="A208" s="310" t="s">
        <v>1161</v>
      </c>
      <c r="B208" s="648">
        <v>968</v>
      </c>
      <c r="C208" s="648">
        <v>104</v>
      </c>
      <c r="D208" s="648" t="s">
        <v>52</v>
      </c>
      <c r="E208" s="648">
        <v>500</v>
      </c>
      <c r="F208" s="1748">
        <v>800</v>
      </c>
      <c r="G208" s="1748"/>
      <c r="H208" s="639">
        <f>SUM(I208:L208)</f>
        <v>15.433</v>
      </c>
      <c r="I208" s="1749">
        <f>I209+I212</f>
        <v>0</v>
      </c>
      <c r="J208" s="1749">
        <f>J209+J212</f>
        <v>7.838</v>
      </c>
      <c r="K208" s="1749">
        <f>K209+K212</f>
        <v>0</v>
      </c>
      <c r="L208" s="1749">
        <f>L209+L212</f>
        <v>7.595</v>
      </c>
      <c r="M208" s="2489">
        <v>15.4</v>
      </c>
      <c r="N208" s="833"/>
    </row>
    <row r="209" spans="1:14" ht="12.75" customHeight="1">
      <c r="A209" s="1078" t="s">
        <v>1022</v>
      </c>
      <c r="B209" s="1085">
        <v>968</v>
      </c>
      <c r="C209" s="1085">
        <v>104</v>
      </c>
      <c r="D209" s="1085" t="s">
        <v>52</v>
      </c>
      <c r="E209" s="1085">
        <v>500</v>
      </c>
      <c r="F209" s="1079">
        <v>851</v>
      </c>
      <c r="G209" s="1755"/>
      <c r="H209" s="1086">
        <f aca="true" t="shared" si="18" ref="H209:L213">H210</f>
        <v>15.425</v>
      </c>
      <c r="I209" s="1086">
        <f t="shared" si="18"/>
        <v>0</v>
      </c>
      <c r="J209" s="1086">
        <f t="shared" si="18"/>
        <v>7.838</v>
      </c>
      <c r="K209" s="1086">
        <f t="shared" si="18"/>
        <v>0</v>
      </c>
      <c r="L209" s="1086">
        <f t="shared" si="18"/>
        <v>7.587000000000001</v>
      </c>
      <c r="M209" s="2489"/>
      <c r="N209" s="833"/>
    </row>
    <row r="210" spans="1:14" ht="12.75" customHeight="1">
      <c r="A210" s="288" t="s">
        <v>326</v>
      </c>
      <c r="B210" s="97">
        <v>968</v>
      </c>
      <c r="C210" s="97">
        <v>104</v>
      </c>
      <c r="D210" s="97" t="s">
        <v>59</v>
      </c>
      <c r="E210" s="97">
        <v>500</v>
      </c>
      <c r="F210" s="302">
        <v>851</v>
      </c>
      <c r="G210" s="302">
        <v>200</v>
      </c>
      <c r="H210" s="2183">
        <f t="shared" si="18"/>
        <v>15.425</v>
      </c>
      <c r="I210" s="2183">
        <f t="shared" si="18"/>
        <v>0</v>
      </c>
      <c r="J210" s="2183">
        <f t="shared" si="18"/>
        <v>7.838</v>
      </c>
      <c r="K210" s="2183">
        <f t="shared" si="18"/>
        <v>0</v>
      </c>
      <c r="L210" s="2183">
        <f t="shared" si="18"/>
        <v>7.587000000000001</v>
      </c>
      <c r="M210" s="2489"/>
      <c r="N210" s="833"/>
    </row>
    <row r="211" spans="1:14" ht="12.75" customHeight="1">
      <c r="A211" s="290" t="s">
        <v>224</v>
      </c>
      <c r="B211" s="297">
        <v>968</v>
      </c>
      <c r="C211" s="297">
        <v>104</v>
      </c>
      <c r="D211" s="297" t="s">
        <v>59</v>
      </c>
      <c r="E211" s="297">
        <v>500</v>
      </c>
      <c r="F211" s="303">
        <v>851</v>
      </c>
      <c r="G211" s="303">
        <v>290</v>
      </c>
      <c r="H211" s="2184">
        <f>SUM(I211:L211)</f>
        <v>15.425</v>
      </c>
      <c r="I211" s="2185">
        <f>7.2-1-6.2</f>
        <v>0</v>
      </c>
      <c r="J211" s="2185">
        <f>5+2.838</f>
        <v>7.838</v>
      </c>
      <c r="K211" s="2184">
        <f>10.6-2.838-7.762</f>
        <v>0</v>
      </c>
      <c r="L211" s="2184">
        <f>5+7.762-5.175</f>
        <v>7.587000000000001</v>
      </c>
      <c r="M211" s="2489"/>
      <c r="N211" s="833"/>
    </row>
    <row r="212" spans="1:14" ht="12.75" customHeight="1">
      <c r="A212" s="1078" t="s">
        <v>1021</v>
      </c>
      <c r="B212" s="1085">
        <v>968</v>
      </c>
      <c r="C212" s="1085">
        <v>104</v>
      </c>
      <c r="D212" s="1085" t="s">
        <v>52</v>
      </c>
      <c r="E212" s="1085">
        <v>500</v>
      </c>
      <c r="F212" s="1079">
        <v>852</v>
      </c>
      <c r="G212" s="1755"/>
      <c r="H212" s="1086">
        <f t="shared" si="18"/>
        <v>0.007999999999999119</v>
      </c>
      <c r="I212" s="1086">
        <f t="shared" si="18"/>
        <v>0</v>
      </c>
      <c r="J212" s="1086">
        <f t="shared" si="18"/>
        <v>0</v>
      </c>
      <c r="K212" s="1086">
        <f t="shared" si="18"/>
        <v>0</v>
      </c>
      <c r="L212" s="1086">
        <f t="shared" si="18"/>
        <v>0.007999999999999119</v>
      </c>
      <c r="M212" s="2489"/>
      <c r="N212" s="833"/>
    </row>
    <row r="213" spans="1:14" ht="12.75" customHeight="1">
      <c r="A213" s="288" t="s">
        <v>326</v>
      </c>
      <c r="B213" s="97">
        <v>968</v>
      </c>
      <c r="C213" s="97">
        <v>104</v>
      </c>
      <c r="D213" s="97" t="s">
        <v>59</v>
      </c>
      <c r="E213" s="97">
        <v>500</v>
      </c>
      <c r="F213" s="302">
        <v>852</v>
      </c>
      <c r="G213" s="302">
        <v>200</v>
      </c>
      <c r="H213" s="2183">
        <f t="shared" si="18"/>
        <v>0.007999999999999119</v>
      </c>
      <c r="I213" s="2183">
        <f t="shared" si="18"/>
        <v>0</v>
      </c>
      <c r="J213" s="2183">
        <f t="shared" si="18"/>
        <v>0</v>
      </c>
      <c r="K213" s="2183">
        <f t="shared" si="18"/>
        <v>0</v>
      </c>
      <c r="L213" s="2183">
        <f t="shared" si="18"/>
        <v>0.007999999999999119</v>
      </c>
      <c r="M213" s="2489"/>
      <c r="N213" s="833"/>
    </row>
    <row r="214" spans="1:14" ht="12.75" customHeight="1">
      <c r="A214" s="290" t="s">
        <v>224</v>
      </c>
      <c r="B214" s="297">
        <v>968</v>
      </c>
      <c r="C214" s="297">
        <v>104</v>
      </c>
      <c r="D214" s="297" t="s">
        <v>59</v>
      </c>
      <c r="E214" s="297">
        <v>500</v>
      </c>
      <c r="F214" s="303">
        <v>852</v>
      </c>
      <c r="G214" s="303">
        <v>290</v>
      </c>
      <c r="H214" s="2184">
        <f>SUM(I214:L214)</f>
        <v>0.007999999999999119</v>
      </c>
      <c r="I214" s="2185">
        <f>10-10</f>
        <v>0</v>
      </c>
      <c r="J214" s="2185">
        <f>10-10</f>
        <v>0</v>
      </c>
      <c r="K214" s="2184">
        <f>10-10</f>
        <v>0</v>
      </c>
      <c r="L214" s="2184">
        <f>10-9.992</f>
        <v>0.007999999999999119</v>
      </c>
      <c r="M214" s="2489"/>
      <c r="N214" s="833"/>
    </row>
    <row r="215" spans="1:14" ht="39.75" customHeight="1">
      <c r="A215" s="310" t="s">
        <v>1274</v>
      </c>
      <c r="B215" s="107">
        <v>968</v>
      </c>
      <c r="C215" s="107">
        <v>104</v>
      </c>
      <c r="D215" s="107" t="s">
        <v>1275</v>
      </c>
      <c r="E215" s="107"/>
      <c r="F215" s="305"/>
      <c r="G215" s="758"/>
      <c r="H215" s="650">
        <f>H217</f>
        <v>5.6</v>
      </c>
      <c r="I215" s="777">
        <f aca="true" t="shared" si="19" ref="I215:L216">I216</f>
        <v>0</v>
      </c>
      <c r="J215" s="777">
        <f t="shared" si="19"/>
        <v>0</v>
      </c>
      <c r="K215" s="777">
        <f t="shared" si="19"/>
        <v>5.6</v>
      </c>
      <c r="L215" s="650">
        <f t="shared" si="19"/>
        <v>0</v>
      </c>
      <c r="M215" s="2489">
        <v>5.6</v>
      </c>
      <c r="N215" s="833"/>
    </row>
    <row r="216" spans="1:14" ht="18" customHeight="1">
      <c r="A216" s="310" t="s">
        <v>1158</v>
      </c>
      <c r="B216" s="648">
        <v>968</v>
      </c>
      <c r="C216" s="648">
        <v>104</v>
      </c>
      <c r="D216" s="648" t="s">
        <v>1275</v>
      </c>
      <c r="E216" s="648">
        <v>598</v>
      </c>
      <c r="F216" s="648">
        <v>200</v>
      </c>
      <c r="G216" s="1062"/>
      <c r="H216" s="639">
        <f>SUM(I216:L216)</f>
        <v>5.6</v>
      </c>
      <c r="I216" s="1749">
        <f t="shared" si="19"/>
        <v>0</v>
      </c>
      <c r="J216" s="1749">
        <f t="shared" si="19"/>
        <v>0</v>
      </c>
      <c r="K216" s="1749">
        <f t="shared" si="19"/>
        <v>5.6</v>
      </c>
      <c r="L216" s="639">
        <f t="shared" si="19"/>
        <v>0</v>
      </c>
      <c r="M216" s="2489"/>
      <c r="N216" s="833"/>
    </row>
    <row r="217" spans="1:14" ht="15" customHeight="1">
      <c r="A217" s="1078" t="s">
        <v>1002</v>
      </c>
      <c r="B217" s="1085">
        <v>968</v>
      </c>
      <c r="C217" s="1085">
        <v>104</v>
      </c>
      <c r="D217" s="1085" t="s">
        <v>1275</v>
      </c>
      <c r="E217" s="1085">
        <v>598</v>
      </c>
      <c r="F217" s="1085">
        <v>244</v>
      </c>
      <c r="G217" s="1062"/>
      <c r="H217" s="1086">
        <f>H221+H224</f>
        <v>5.6</v>
      </c>
      <c r="I217" s="1086">
        <f>I221+I224</f>
        <v>0</v>
      </c>
      <c r="J217" s="1086">
        <f>J221+J224</f>
        <v>0</v>
      </c>
      <c r="K217" s="1086">
        <f>K221+K224</f>
        <v>5.6</v>
      </c>
      <c r="L217" s="1086">
        <f>L221+L224</f>
        <v>0</v>
      </c>
      <c r="M217" s="2489"/>
      <c r="N217" s="833"/>
    </row>
    <row r="218" spans="1:14" ht="16.5" customHeight="1" hidden="1">
      <c r="A218" s="288" t="s">
        <v>326</v>
      </c>
      <c r="B218" s="97">
        <v>968</v>
      </c>
      <c r="C218" s="97">
        <v>104</v>
      </c>
      <c r="D218" s="97" t="s">
        <v>58</v>
      </c>
      <c r="E218" s="97">
        <v>500</v>
      </c>
      <c r="F218" s="97">
        <v>500</v>
      </c>
      <c r="G218" s="302">
        <v>200</v>
      </c>
      <c r="H218" s="1534">
        <f aca="true" t="shared" si="20" ref="H218:L219">H219</f>
        <v>0</v>
      </c>
      <c r="I218" s="1534">
        <f t="shared" si="20"/>
        <v>0</v>
      </c>
      <c r="J218" s="1535">
        <f t="shared" si="20"/>
        <v>0</v>
      </c>
      <c r="K218" s="1534">
        <f t="shared" si="20"/>
        <v>0</v>
      </c>
      <c r="L218" s="1534">
        <f t="shared" si="20"/>
        <v>0</v>
      </c>
      <c r="M218" s="2489"/>
      <c r="N218" s="833"/>
    </row>
    <row r="219" spans="1:14" ht="12.75" hidden="1">
      <c r="A219" s="290" t="s">
        <v>327</v>
      </c>
      <c r="B219" s="297">
        <v>968</v>
      </c>
      <c r="C219" s="297">
        <v>104</v>
      </c>
      <c r="D219" s="297" t="s">
        <v>58</v>
      </c>
      <c r="E219" s="297">
        <v>598</v>
      </c>
      <c r="F219" s="297">
        <v>598</v>
      </c>
      <c r="G219" s="303">
        <v>220</v>
      </c>
      <c r="H219" s="2184">
        <f t="shared" si="20"/>
        <v>0</v>
      </c>
      <c r="I219" s="2184">
        <f t="shared" si="20"/>
        <v>0</v>
      </c>
      <c r="J219" s="2185">
        <f t="shared" si="20"/>
        <v>0</v>
      </c>
      <c r="K219" s="2184">
        <f t="shared" si="20"/>
        <v>0</v>
      </c>
      <c r="L219" s="2184">
        <f t="shared" si="20"/>
        <v>0</v>
      </c>
      <c r="M219" s="2489"/>
      <c r="N219" s="833"/>
    </row>
    <row r="220" spans="1:14" ht="12.75" hidden="1">
      <c r="A220" s="291" t="s">
        <v>329</v>
      </c>
      <c r="B220" s="298">
        <v>968</v>
      </c>
      <c r="C220" s="298">
        <v>104</v>
      </c>
      <c r="D220" s="298" t="s">
        <v>58</v>
      </c>
      <c r="E220" s="298">
        <v>598</v>
      </c>
      <c r="F220" s="298">
        <v>598</v>
      </c>
      <c r="G220" s="304">
        <v>226</v>
      </c>
      <c r="H220" s="2184">
        <f>SUM(I220:L220)</f>
        <v>0</v>
      </c>
      <c r="I220" s="2185">
        <f>20-20</f>
        <v>0</v>
      </c>
      <c r="J220" s="2185">
        <v>0</v>
      </c>
      <c r="K220" s="2184">
        <v>0</v>
      </c>
      <c r="L220" s="2184">
        <v>0</v>
      </c>
      <c r="M220" s="2489"/>
      <c r="N220" s="833"/>
    </row>
    <row r="221" spans="1:14" ht="12.75" hidden="1">
      <c r="A221" s="756" t="s">
        <v>326</v>
      </c>
      <c r="B221" s="97">
        <v>968</v>
      </c>
      <c r="C221" s="97">
        <v>104</v>
      </c>
      <c r="D221" s="97" t="s">
        <v>1276</v>
      </c>
      <c r="E221" s="97">
        <v>598</v>
      </c>
      <c r="F221" s="97">
        <v>244</v>
      </c>
      <c r="G221" s="758">
        <v>200</v>
      </c>
      <c r="H221" s="2184">
        <f>SUM(I221:L221)</f>
        <v>0</v>
      </c>
      <c r="I221" s="2185">
        <f aca="true" t="shared" si="21" ref="I221:L222">I222</f>
        <v>0</v>
      </c>
      <c r="J221" s="2185">
        <f t="shared" si="21"/>
        <v>0</v>
      </c>
      <c r="K221" s="2185">
        <f t="shared" si="21"/>
        <v>0</v>
      </c>
      <c r="L221" s="2184">
        <f t="shared" si="21"/>
        <v>0</v>
      </c>
      <c r="M221" s="2489"/>
      <c r="N221" s="833"/>
    </row>
    <row r="222" spans="1:14" ht="12.75" hidden="1">
      <c r="A222" s="290" t="s">
        <v>327</v>
      </c>
      <c r="B222" s="298">
        <v>968</v>
      </c>
      <c r="C222" s="298">
        <v>104</v>
      </c>
      <c r="D222" s="298" t="s">
        <v>1276</v>
      </c>
      <c r="E222" s="298">
        <v>598</v>
      </c>
      <c r="F222" s="298">
        <v>244</v>
      </c>
      <c r="G222" s="303">
        <v>220</v>
      </c>
      <c r="H222" s="2184">
        <f>SUM(I222:L222)</f>
        <v>0</v>
      </c>
      <c r="I222" s="2185">
        <f t="shared" si="21"/>
        <v>0</v>
      </c>
      <c r="J222" s="2185">
        <f t="shared" si="21"/>
        <v>0</v>
      </c>
      <c r="K222" s="2185">
        <f t="shared" si="21"/>
        <v>0</v>
      </c>
      <c r="L222" s="2184">
        <f t="shared" si="21"/>
        <v>0</v>
      </c>
      <c r="M222" s="2489"/>
      <c r="N222" s="833"/>
    </row>
    <row r="223" spans="1:14" ht="12.75" hidden="1">
      <c r="A223" s="291" t="s">
        <v>329</v>
      </c>
      <c r="B223" s="298">
        <v>968</v>
      </c>
      <c r="C223" s="298">
        <v>104</v>
      </c>
      <c r="D223" s="298" t="s">
        <v>1276</v>
      </c>
      <c r="E223" s="298">
        <v>598</v>
      </c>
      <c r="F223" s="298">
        <v>244</v>
      </c>
      <c r="G223" s="304">
        <v>226</v>
      </c>
      <c r="H223" s="2184">
        <f>SUM(I223:L223)</f>
        <v>0</v>
      </c>
      <c r="I223" s="2185">
        <f>5-5</f>
        <v>0</v>
      </c>
      <c r="J223" s="2185">
        <f>5.6-5.6</f>
        <v>0</v>
      </c>
      <c r="K223" s="2184">
        <v>0</v>
      </c>
      <c r="L223" s="2184">
        <v>0</v>
      </c>
      <c r="M223" s="2489"/>
      <c r="N223" s="833"/>
    </row>
    <row r="224" spans="1:14" ht="12.75">
      <c r="A224" s="288" t="s">
        <v>330</v>
      </c>
      <c r="B224" s="97">
        <v>968</v>
      </c>
      <c r="C224" s="97">
        <v>104</v>
      </c>
      <c r="D224" s="97" t="s">
        <v>1276</v>
      </c>
      <c r="E224" s="97">
        <v>598</v>
      </c>
      <c r="F224" s="97">
        <v>244</v>
      </c>
      <c r="G224" s="302">
        <v>300</v>
      </c>
      <c r="H224" s="1534">
        <f>SUM(H225:H226)</f>
        <v>5.6</v>
      </c>
      <c r="I224" s="1535">
        <f>SUM(I225:I226)</f>
        <v>0</v>
      </c>
      <c r="J224" s="1535">
        <f>SUM(J225:J226)</f>
        <v>0</v>
      </c>
      <c r="K224" s="1534">
        <f>SUM(K225:K226)</f>
        <v>5.6</v>
      </c>
      <c r="L224" s="1534">
        <f>SUM(L225:L226)</f>
        <v>0</v>
      </c>
      <c r="M224" s="2489"/>
      <c r="N224" s="833"/>
    </row>
    <row r="225" spans="1:14" ht="12.75">
      <c r="A225" s="291" t="s">
        <v>225</v>
      </c>
      <c r="B225" s="298">
        <v>968</v>
      </c>
      <c r="C225" s="298">
        <v>104</v>
      </c>
      <c r="D225" s="298" t="s">
        <v>1276</v>
      </c>
      <c r="E225" s="298">
        <v>598</v>
      </c>
      <c r="F225" s="298">
        <v>244</v>
      </c>
      <c r="G225" s="304">
        <v>310</v>
      </c>
      <c r="H225" s="1532">
        <f>SUM(I225:L225)</f>
        <v>0</v>
      </c>
      <c r="I225" s="1533">
        <f>25-25</f>
        <v>0</v>
      </c>
      <c r="J225" s="1533">
        <v>0</v>
      </c>
      <c r="K225" s="1532">
        <v>0</v>
      </c>
      <c r="L225" s="1532">
        <v>0</v>
      </c>
      <c r="M225" s="2489"/>
      <c r="N225" s="833"/>
    </row>
    <row r="226" spans="1:14" ht="15" customHeight="1">
      <c r="A226" s="291" t="s">
        <v>226</v>
      </c>
      <c r="B226" s="298">
        <v>968</v>
      </c>
      <c r="C226" s="298">
        <v>104</v>
      </c>
      <c r="D226" s="298" t="s">
        <v>1276</v>
      </c>
      <c r="E226" s="298">
        <v>598</v>
      </c>
      <c r="F226" s="298">
        <v>244</v>
      </c>
      <c r="G226" s="304">
        <v>340</v>
      </c>
      <c r="H226" s="1532">
        <f>SUM(I226:L226)</f>
        <v>5.6</v>
      </c>
      <c r="I226" s="1533">
        <v>0</v>
      </c>
      <c r="J226" s="1533">
        <v>0</v>
      </c>
      <c r="K226" s="1532">
        <v>5.6</v>
      </c>
      <c r="L226" s="1532">
        <v>0</v>
      </c>
      <c r="M226" s="2489"/>
      <c r="N226" s="833"/>
    </row>
    <row r="227" spans="1:14" ht="16.5" customHeight="1">
      <c r="A227" s="759" t="s">
        <v>24</v>
      </c>
      <c r="B227" s="760">
        <v>968</v>
      </c>
      <c r="C227" s="760">
        <v>111</v>
      </c>
      <c r="D227" s="760"/>
      <c r="E227" s="760"/>
      <c r="F227" s="761"/>
      <c r="G227" s="761"/>
      <c r="H227" s="2280">
        <f>SUM(I227:L227)</f>
        <v>2869.841</v>
      </c>
      <c r="I227" s="2279">
        <f aca="true" t="shared" si="22" ref="H227:L231">I228</f>
        <v>0</v>
      </c>
      <c r="J227" s="2279">
        <f t="shared" si="22"/>
        <v>0</v>
      </c>
      <c r="K227" s="2280">
        <f t="shared" si="22"/>
        <v>0</v>
      </c>
      <c r="L227" s="2280">
        <f>L228</f>
        <v>2869.841</v>
      </c>
      <c r="M227" s="2489"/>
      <c r="N227" s="833"/>
    </row>
    <row r="228" spans="1:14" ht="14.25" customHeight="1">
      <c r="A228" s="652" t="s">
        <v>25</v>
      </c>
      <c r="B228" s="647">
        <v>968</v>
      </c>
      <c r="C228" s="647">
        <v>111</v>
      </c>
      <c r="D228" s="647" t="s">
        <v>27</v>
      </c>
      <c r="E228" s="647"/>
      <c r="F228" s="649"/>
      <c r="G228" s="649"/>
      <c r="H228" s="650">
        <f>H230</f>
        <v>2869.841</v>
      </c>
      <c r="I228" s="777">
        <f>I229</f>
        <v>0</v>
      </c>
      <c r="J228" s="777">
        <f t="shared" si="22"/>
        <v>0</v>
      </c>
      <c r="K228" s="777">
        <f t="shared" si="22"/>
        <v>0</v>
      </c>
      <c r="L228" s="650">
        <f t="shared" si="22"/>
        <v>2869.841</v>
      </c>
      <c r="M228" s="2489"/>
      <c r="N228" s="833"/>
    </row>
    <row r="229" spans="1:14" ht="14.25" customHeight="1">
      <c r="A229" s="310" t="s">
        <v>1161</v>
      </c>
      <c r="B229" s="648">
        <v>968</v>
      </c>
      <c r="C229" s="648">
        <v>111</v>
      </c>
      <c r="D229" s="648" t="s">
        <v>27</v>
      </c>
      <c r="E229" s="648">
        <v>13</v>
      </c>
      <c r="F229" s="1748">
        <v>800</v>
      </c>
      <c r="G229" s="1748"/>
      <c r="H229" s="639">
        <f>SUM(I229:L229)</f>
        <v>2869.841</v>
      </c>
      <c r="I229" s="1749">
        <f>I230</f>
        <v>0</v>
      </c>
      <c r="J229" s="1749">
        <f>J230</f>
        <v>0</v>
      </c>
      <c r="K229" s="1749">
        <f>K230</f>
        <v>0</v>
      </c>
      <c r="L229" s="639">
        <f>L230</f>
        <v>2869.841</v>
      </c>
      <c r="M229" s="2489"/>
      <c r="N229" s="833"/>
    </row>
    <row r="230" spans="1:14" ht="13.5" customHeight="1">
      <c r="A230" s="1754" t="s">
        <v>921</v>
      </c>
      <c r="B230" s="1085">
        <v>968</v>
      </c>
      <c r="C230" s="1085">
        <v>111</v>
      </c>
      <c r="D230" s="1085" t="s">
        <v>27</v>
      </c>
      <c r="E230" s="1085">
        <v>13</v>
      </c>
      <c r="F230" s="1079">
        <v>870</v>
      </c>
      <c r="G230" s="1079"/>
      <c r="H230" s="1086">
        <f t="shared" si="22"/>
        <v>2869.841</v>
      </c>
      <c r="I230" s="1087">
        <f t="shared" si="22"/>
        <v>0</v>
      </c>
      <c r="J230" s="1087">
        <f t="shared" si="22"/>
        <v>0</v>
      </c>
      <c r="K230" s="1086">
        <f t="shared" si="22"/>
        <v>0</v>
      </c>
      <c r="L230" s="1086">
        <f>L231</f>
        <v>2869.841</v>
      </c>
      <c r="M230" s="2489"/>
      <c r="N230" s="833"/>
    </row>
    <row r="231" spans="1:14" ht="14.25" customHeight="1">
      <c r="A231" s="756" t="s">
        <v>326</v>
      </c>
      <c r="B231" s="757">
        <v>968</v>
      </c>
      <c r="C231" s="757">
        <v>111</v>
      </c>
      <c r="D231" s="757" t="s">
        <v>27</v>
      </c>
      <c r="E231" s="757">
        <v>13</v>
      </c>
      <c r="F231" s="758">
        <v>870</v>
      </c>
      <c r="G231" s="758">
        <v>200</v>
      </c>
      <c r="H231" s="2249">
        <f t="shared" si="22"/>
        <v>2869.841</v>
      </c>
      <c r="I231" s="2248">
        <f t="shared" si="22"/>
        <v>0</v>
      </c>
      <c r="J231" s="2248">
        <f t="shared" si="22"/>
        <v>0</v>
      </c>
      <c r="K231" s="2249">
        <f t="shared" si="22"/>
        <v>0</v>
      </c>
      <c r="L231" s="2249">
        <f>L232</f>
        <v>2869.841</v>
      </c>
      <c r="M231" s="2489"/>
      <c r="N231" s="833"/>
    </row>
    <row r="232" spans="1:14" ht="14.25" customHeight="1">
      <c r="A232" s="290" t="s">
        <v>224</v>
      </c>
      <c r="B232" s="297">
        <v>968</v>
      </c>
      <c r="C232" s="297">
        <v>111</v>
      </c>
      <c r="D232" s="297" t="s">
        <v>27</v>
      </c>
      <c r="E232" s="297">
        <v>13</v>
      </c>
      <c r="F232" s="303">
        <v>870</v>
      </c>
      <c r="G232" s="303">
        <v>290</v>
      </c>
      <c r="H232" s="2249">
        <f>SUM(I232:L232)</f>
        <v>2869.841</v>
      </c>
      <c r="I232" s="2248">
        <f>473.333-473.333+20.85-0.472-20.378</f>
        <v>0</v>
      </c>
      <c r="J232" s="2248">
        <f>186.455-186.455+20.85+137.392-5.66-152.582+348.286-73.855-274.431</f>
        <v>0</v>
      </c>
      <c r="K232" s="2249">
        <f>20.85-20.85+1240+1023.652-2263.652</f>
        <v>0</v>
      </c>
      <c r="L232" s="2249">
        <f>3000-1779.466+20.85-135.3-8.405-700+80-2.16+328.7+2626.742-10-584.241-18.951+651.258-35.028-584.883+20.725</f>
        <v>2869.841</v>
      </c>
      <c r="M232" s="2489">
        <v>2869.8</v>
      </c>
      <c r="N232" s="833"/>
    </row>
    <row r="233" spans="1:14" ht="18.75" customHeight="1">
      <c r="A233" s="311" t="s">
        <v>410</v>
      </c>
      <c r="B233" s="296">
        <v>968</v>
      </c>
      <c r="C233" s="296">
        <v>113</v>
      </c>
      <c r="D233" s="296"/>
      <c r="E233" s="296"/>
      <c r="F233" s="301"/>
      <c r="G233" s="301"/>
      <c r="H233" s="2280">
        <f>SUM(I233:L233)</f>
        <v>565.2940000000001</v>
      </c>
      <c r="I233" s="2279">
        <f>I234+I247+I252+I257+I262+I268+I273+I280</f>
        <v>39.98</v>
      </c>
      <c r="J233" s="2279">
        <f>J234+J247+J252+J257+J262+J268+J273+J280</f>
        <v>341.99</v>
      </c>
      <c r="K233" s="2279">
        <f>K234+K247+K252+K257+K262+K268+K273+K280</f>
        <v>39.980000000000004</v>
      </c>
      <c r="L233" s="2279">
        <f>L234+L247+L252+L257+L262+L268+L273+L280</f>
        <v>143.344</v>
      </c>
      <c r="M233" s="2489">
        <v>565.3</v>
      </c>
      <c r="N233" s="833"/>
    </row>
    <row r="234" spans="1:14" ht="27" customHeight="1" hidden="1">
      <c r="A234" s="310" t="s">
        <v>938</v>
      </c>
      <c r="B234" s="107">
        <v>968</v>
      </c>
      <c r="C234" s="107">
        <v>113</v>
      </c>
      <c r="D234" s="107" t="s">
        <v>937</v>
      </c>
      <c r="E234" s="107"/>
      <c r="F234" s="305"/>
      <c r="G234" s="305"/>
      <c r="H234" s="650">
        <f>H236</f>
        <v>0</v>
      </c>
      <c r="I234" s="777">
        <f aca="true" t="shared" si="23" ref="I234:L235">I235</f>
        <v>0</v>
      </c>
      <c r="J234" s="777">
        <f t="shared" si="23"/>
        <v>0</v>
      </c>
      <c r="K234" s="777">
        <f t="shared" si="23"/>
        <v>0</v>
      </c>
      <c r="L234" s="777">
        <f t="shared" si="23"/>
        <v>0</v>
      </c>
      <c r="M234" s="2489"/>
      <c r="N234" s="833"/>
    </row>
    <row r="235" spans="1:14" ht="17.25" customHeight="1" hidden="1">
      <c r="A235" s="310" t="s">
        <v>1158</v>
      </c>
      <c r="B235" s="1085">
        <v>968</v>
      </c>
      <c r="C235" s="1085">
        <v>113</v>
      </c>
      <c r="D235" s="1085" t="s">
        <v>937</v>
      </c>
      <c r="E235" s="1085">
        <v>500</v>
      </c>
      <c r="F235" s="1079">
        <v>200</v>
      </c>
      <c r="G235" s="305"/>
      <c r="H235" s="650">
        <f>SUM(I235:L235)</f>
        <v>0</v>
      </c>
      <c r="I235" s="777">
        <f t="shared" si="23"/>
        <v>0</v>
      </c>
      <c r="J235" s="777">
        <f t="shared" si="23"/>
        <v>0</v>
      </c>
      <c r="K235" s="777">
        <f t="shared" si="23"/>
        <v>0</v>
      </c>
      <c r="L235" s="650">
        <f t="shared" si="23"/>
        <v>0</v>
      </c>
      <c r="M235" s="2489"/>
      <c r="N235" s="833"/>
    </row>
    <row r="236" spans="1:14" ht="12.75" customHeight="1" hidden="1">
      <c r="A236" s="1078" t="s">
        <v>1002</v>
      </c>
      <c r="B236" s="1085">
        <v>968</v>
      </c>
      <c r="C236" s="1085">
        <v>113</v>
      </c>
      <c r="D236" s="1085" t="s">
        <v>937</v>
      </c>
      <c r="E236" s="1085">
        <v>500</v>
      </c>
      <c r="F236" s="1079">
        <v>244</v>
      </c>
      <c r="G236" s="1079"/>
      <c r="H236" s="1086">
        <f aca="true" t="shared" si="24" ref="H236:L237">H237</f>
        <v>0</v>
      </c>
      <c r="I236" s="1087">
        <f t="shared" si="24"/>
        <v>0</v>
      </c>
      <c r="J236" s="1087">
        <f t="shared" si="24"/>
        <v>0</v>
      </c>
      <c r="K236" s="1086">
        <f t="shared" si="24"/>
        <v>0</v>
      </c>
      <c r="L236" s="1086">
        <f t="shared" si="24"/>
        <v>0</v>
      </c>
      <c r="M236" s="2489"/>
      <c r="N236" s="833"/>
    </row>
    <row r="237" spans="1:14" ht="12.75" customHeight="1" hidden="1">
      <c r="A237" s="288" t="s">
        <v>326</v>
      </c>
      <c r="B237" s="97">
        <v>968</v>
      </c>
      <c r="C237" s="97">
        <v>113</v>
      </c>
      <c r="D237" s="97" t="s">
        <v>937</v>
      </c>
      <c r="E237" s="97">
        <v>500</v>
      </c>
      <c r="F237" s="302">
        <v>244</v>
      </c>
      <c r="G237" s="302">
        <v>200</v>
      </c>
      <c r="H237" s="1534">
        <f t="shared" si="24"/>
        <v>0</v>
      </c>
      <c r="I237" s="1535">
        <f t="shared" si="24"/>
        <v>0</v>
      </c>
      <c r="J237" s="1535">
        <f t="shared" si="24"/>
        <v>0</v>
      </c>
      <c r="K237" s="1534">
        <f t="shared" si="24"/>
        <v>0</v>
      </c>
      <c r="L237" s="1534">
        <f t="shared" si="24"/>
        <v>0</v>
      </c>
      <c r="M237" s="2489"/>
      <c r="N237" s="833"/>
    </row>
    <row r="238" spans="1:14" ht="13.5" customHeight="1" hidden="1">
      <c r="A238" s="291" t="s">
        <v>329</v>
      </c>
      <c r="B238" s="298">
        <v>968</v>
      </c>
      <c r="C238" s="298">
        <v>113</v>
      </c>
      <c r="D238" s="298" t="s">
        <v>937</v>
      </c>
      <c r="E238" s="298">
        <v>500</v>
      </c>
      <c r="F238" s="304">
        <v>244</v>
      </c>
      <c r="G238" s="304">
        <v>226</v>
      </c>
      <c r="H238" s="1532">
        <f>SUM(I238:L238)</f>
        <v>0</v>
      </c>
      <c r="I238" s="1533">
        <f>109.65-109.65</f>
        <v>0</v>
      </c>
      <c r="J238" s="1533">
        <v>0</v>
      </c>
      <c r="K238" s="1532">
        <v>0</v>
      </c>
      <c r="L238" s="1532">
        <f>109.65-109.65</f>
        <v>0</v>
      </c>
      <c r="M238" s="2489"/>
      <c r="N238" s="833"/>
    </row>
    <row r="239" spans="1:14" ht="51.75" customHeight="1" hidden="1">
      <c r="A239" s="310" t="s">
        <v>414</v>
      </c>
      <c r="B239" s="107">
        <v>968</v>
      </c>
      <c r="C239" s="107">
        <v>113</v>
      </c>
      <c r="D239" s="107" t="s">
        <v>220</v>
      </c>
      <c r="E239" s="107"/>
      <c r="F239" s="305"/>
      <c r="G239" s="305"/>
      <c r="H239" s="2192">
        <f>H240+H244</f>
        <v>0</v>
      </c>
      <c r="I239" s="2192">
        <f>I243</f>
        <v>0</v>
      </c>
      <c r="J239" s="2192">
        <f>J243</f>
        <v>0</v>
      </c>
      <c r="K239" s="2192">
        <f>K243</f>
        <v>0</v>
      </c>
      <c r="L239" s="2192">
        <f>L243</f>
        <v>0</v>
      </c>
      <c r="M239" s="2489"/>
      <c r="N239" s="833"/>
    </row>
    <row r="240" spans="1:14" ht="12.75" hidden="1">
      <c r="A240" s="310" t="s">
        <v>415</v>
      </c>
      <c r="B240" s="97">
        <v>968</v>
      </c>
      <c r="C240" s="97">
        <v>113</v>
      </c>
      <c r="D240" s="97" t="s">
        <v>220</v>
      </c>
      <c r="E240" s="97">
        <v>500</v>
      </c>
      <c r="F240" s="302"/>
      <c r="G240" s="302"/>
      <c r="H240" s="2201">
        <f aca="true" t="shared" si="25" ref="H240:L241">H241</f>
        <v>0</v>
      </c>
      <c r="I240" s="2202">
        <f t="shared" si="25"/>
        <v>0</v>
      </c>
      <c r="J240" s="2202">
        <f t="shared" si="25"/>
        <v>0</v>
      </c>
      <c r="K240" s="2201">
        <f t="shared" si="25"/>
        <v>0</v>
      </c>
      <c r="L240" s="2201">
        <f t="shared" si="25"/>
        <v>0</v>
      </c>
      <c r="M240" s="2489"/>
      <c r="N240" s="833"/>
    </row>
    <row r="241" spans="1:14" ht="12.75" hidden="1">
      <c r="A241" s="288" t="s">
        <v>326</v>
      </c>
      <c r="B241" s="97">
        <v>968</v>
      </c>
      <c r="C241" s="97">
        <v>113</v>
      </c>
      <c r="D241" s="97" t="s">
        <v>220</v>
      </c>
      <c r="E241" s="97">
        <v>500</v>
      </c>
      <c r="F241" s="302"/>
      <c r="G241" s="302">
        <v>200</v>
      </c>
      <c r="H241" s="2201">
        <f t="shared" si="25"/>
        <v>0</v>
      </c>
      <c r="I241" s="2202">
        <f t="shared" si="25"/>
        <v>0</v>
      </c>
      <c r="J241" s="2202">
        <f t="shared" si="25"/>
        <v>0</v>
      </c>
      <c r="K241" s="2201">
        <f t="shared" si="25"/>
        <v>0</v>
      </c>
      <c r="L241" s="2201">
        <f t="shared" si="25"/>
        <v>0</v>
      </c>
      <c r="M241" s="2489"/>
      <c r="N241" s="833"/>
    </row>
    <row r="242" spans="1:14" ht="12.75" hidden="1">
      <c r="A242" s="291" t="s">
        <v>329</v>
      </c>
      <c r="B242" s="298">
        <v>968</v>
      </c>
      <c r="C242" s="298">
        <v>113</v>
      </c>
      <c r="D242" s="298" t="s">
        <v>220</v>
      </c>
      <c r="E242" s="298">
        <v>500</v>
      </c>
      <c r="F242" s="304"/>
      <c r="G242" s="304">
        <v>226</v>
      </c>
      <c r="H242" s="2203">
        <f>SUM(I242:L242)</f>
        <v>0</v>
      </c>
      <c r="I242" s="2204">
        <v>0</v>
      </c>
      <c r="J242" s="2204">
        <v>0</v>
      </c>
      <c r="K242" s="2203">
        <f>137.5-137.5</f>
        <v>0</v>
      </c>
      <c r="L242" s="2203">
        <f>137.5-137.5</f>
        <v>0</v>
      </c>
      <c r="M242" s="2489"/>
      <c r="N242" s="833"/>
    </row>
    <row r="243" spans="1:14" ht="24" hidden="1">
      <c r="A243" s="1747" t="s">
        <v>1162</v>
      </c>
      <c r="B243" s="1085">
        <v>968</v>
      </c>
      <c r="C243" s="1085">
        <v>113</v>
      </c>
      <c r="D243" s="1085" t="s">
        <v>220</v>
      </c>
      <c r="E243" s="1085">
        <v>19</v>
      </c>
      <c r="F243" s="1079">
        <v>600</v>
      </c>
      <c r="G243" s="1748"/>
      <c r="H243" s="2194">
        <f>SUM(I243:L243)</f>
        <v>0</v>
      </c>
      <c r="I243" s="2195">
        <f aca="true" t="shared" si="26" ref="I243:L245">I244</f>
        <v>0</v>
      </c>
      <c r="J243" s="2195">
        <f t="shared" si="26"/>
        <v>0</v>
      </c>
      <c r="K243" s="2195">
        <f t="shared" si="26"/>
        <v>0</v>
      </c>
      <c r="L243" s="2194">
        <f t="shared" si="26"/>
        <v>0</v>
      </c>
      <c r="M243" s="2489"/>
      <c r="N243" s="833"/>
    </row>
    <row r="244" spans="1:14" ht="12.75" hidden="1">
      <c r="A244" s="1078" t="s">
        <v>864</v>
      </c>
      <c r="B244" s="1085">
        <v>968</v>
      </c>
      <c r="C244" s="1085">
        <v>113</v>
      </c>
      <c r="D244" s="1085" t="s">
        <v>220</v>
      </c>
      <c r="E244" s="1085">
        <v>19</v>
      </c>
      <c r="F244" s="1079">
        <v>630</v>
      </c>
      <c r="G244" s="1079"/>
      <c r="H244" s="2196">
        <f>H245</f>
        <v>0</v>
      </c>
      <c r="I244" s="2196">
        <f t="shared" si="26"/>
        <v>0</v>
      </c>
      <c r="J244" s="2196">
        <f t="shared" si="26"/>
        <v>0</v>
      </c>
      <c r="K244" s="2196">
        <f t="shared" si="26"/>
        <v>0</v>
      </c>
      <c r="L244" s="2196">
        <f t="shared" si="26"/>
        <v>0</v>
      </c>
      <c r="M244" s="2489"/>
      <c r="N244" s="833"/>
    </row>
    <row r="245" spans="1:14" ht="12.75" hidden="1">
      <c r="A245" s="288" t="s">
        <v>326</v>
      </c>
      <c r="B245" s="97">
        <v>968</v>
      </c>
      <c r="C245" s="97">
        <v>113</v>
      </c>
      <c r="D245" s="97" t="s">
        <v>220</v>
      </c>
      <c r="E245" s="97">
        <v>19</v>
      </c>
      <c r="F245" s="302">
        <v>630</v>
      </c>
      <c r="G245" s="302">
        <v>200</v>
      </c>
      <c r="H245" s="2203">
        <f aca="true" t="shared" si="27" ref="H245:H251">SUM(I245:L245)</f>
        <v>0</v>
      </c>
      <c r="I245" s="2204">
        <f t="shared" si="26"/>
        <v>0</v>
      </c>
      <c r="J245" s="2204">
        <f t="shared" si="26"/>
        <v>0</v>
      </c>
      <c r="K245" s="2204">
        <f t="shared" si="26"/>
        <v>0</v>
      </c>
      <c r="L245" s="2203">
        <f t="shared" si="26"/>
        <v>0</v>
      </c>
      <c r="M245" s="2489"/>
      <c r="N245" s="833"/>
    </row>
    <row r="246" spans="1:14" ht="24" customHeight="1" hidden="1">
      <c r="A246" s="1498" t="s">
        <v>865</v>
      </c>
      <c r="B246" s="298">
        <v>968</v>
      </c>
      <c r="C246" s="298">
        <v>113</v>
      </c>
      <c r="D246" s="298" t="s">
        <v>220</v>
      </c>
      <c r="E246" s="298">
        <v>19</v>
      </c>
      <c r="F246" s="304">
        <v>630</v>
      </c>
      <c r="G246" s="304">
        <v>242</v>
      </c>
      <c r="H246" s="2203">
        <f t="shared" si="27"/>
        <v>0</v>
      </c>
      <c r="I246" s="2204">
        <v>0</v>
      </c>
      <c r="J246" s="2204">
        <f>125+125-250</f>
        <v>0</v>
      </c>
      <c r="K246" s="2203">
        <v>0</v>
      </c>
      <c r="L246" s="2203">
        <v>0</v>
      </c>
      <c r="M246" s="2489"/>
      <c r="N246" s="833"/>
    </row>
    <row r="247" spans="1:14" ht="27" customHeight="1">
      <c r="A247" s="310" t="s">
        <v>1304</v>
      </c>
      <c r="B247" s="107">
        <v>968</v>
      </c>
      <c r="C247" s="107">
        <v>113</v>
      </c>
      <c r="D247" s="107" t="str">
        <f>D249</f>
        <v>092 02 00</v>
      </c>
      <c r="E247" s="107"/>
      <c r="F247" s="1077"/>
      <c r="G247" s="305"/>
      <c r="H247" s="650">
        <f t="shared" si="27"/>
        <v>120</v>
      </c>
      <c r="I247" s="777">
        <f aca="true" t="shared" si="28" ref="I247:L248">I248</f>
        <v>0</v>
      </c>
      <c r="J247" s="777">
        <f t="shared" si="28"/>
        <v>120</v>
      </c>
      <c r="K247" s="777">
        <f t="shared" si="28"/>
        <v>0</v>
      </c>
      <c r="L247" s="650">
        <f t="shared" si="28"/>
        <v>0</v>
      </c>
      <c r="M247" s="2489"/>
      <c r="N247" s="833"/>
    </row>
    <row r="248" spans="1:14" ht="14.25" customHeight="1">
      <c r="A248" s="310" t="s">
        <v>1158</v>
      </c>
      <c r="B248" s="1085">
        <v>968</v>
      </c>
      <c r="C248" s="1085">
        <v>113</v>
      </c>
      <c r="D248" s="1085" t="str">
        <f>D249</f>
        <v>092 02 00</v>
      </c>
      <c r="E248" s="1085">
        <v>500</v>
      </c>
      <c r="F248" s="1079">
        <v>200</v>
      </c>
      <c r="G248" s="305"/>
      <c r="H248" s="650">
        <f>SUM(I248:L248)</f>
        <v>120</v>
      </c>
      <c r="I248" s="777">
        <f t="shared" si="28"/>
        <v>0</v>
      </c>
      <c r="J248" s="777">
        <f t="shared" si="28"/>
        <v>120</v>
      </c>
      <c r="K248" s="777">
        <f t="shared" si="28"/>
        <v>0</v>
      </c>
      <c r="L248" s="650">
        <f t="shared" si="28"/>
        <v>0</v>
      </c>
      <c r="M248" s="2489"/>
      <c r="N248" s="833"/>
    </row>
    <row r="249" spans="1:14" ht="15" customHeight="1">
      <c r="A249" s="1078" t="s">
        <v>1002</v>
      </c>
      <c r="B249" s="1085">
        <v>968</v>
      </c>
      <c r="C249" s="1085">
        <v>113</v>
      </c>
      <c r="D249" s="1085" t="str">
        <f>D250</f>
        <v>092 02 00</v>
      </c>
      <c r="E249" s="1085">
        <v>500</v>
      </c>
      <c r="F249" s="1079">
        <v>244</v>
      </c>
      <c r="G249" s="1079"/>
      <c r="H249" s="1086">
        <f t="shared" si="27"/>
        <v>120</v>
      </c>
      <c r="I249" s="1087">
        <f aca="true" t="shared" si="29" ref="I249:L250">I250</f>
        <v>0</v>
      </c>
      <c r="J249" s="1087">
        <f>J250</f>
        <v>120</v>
      </c>
      <c r="K249" s="1086">
        <f>K250</f>
        <v>0</v>
      </c>
      <c r="L249" s="1086">
        <f t="shared" si="29"/>
        <v>0</v>
      </c>
      <c r="M249" s="2489"/>
      <c r="N249" s="833"/>
    </row>
    <row r="250" spans="1:14" ht="16.5" customHeight="1">
      <c r="A250" s="288" t="s">
        <v>326</v>
      </c>
      <c r="B250" s="97">
        <v>968</v>
      </c>
      <c r="C250" s="97">
        <v>113</v>
      </c>
      <c r="D250" s="97" t="str">
        <f>D251</f>
        <v>092 02 00</v>
      </c>
      <c r="E250" s="97">
        <v>500</v>
      </c>
      <c r="F250" s="302">
        <v>244</v>
      </c>
      <c r="G250" s="302">
        <v>200</v>
      </c>
      <c r="H250" s="1534">
        <f t="shared" si="27"/>
        <v>120</v>
      </c>
      <c r="I250" s="1535">
        <f t="shared" si="29"/>
        <v>0</v>
      </c>
      <c r="J250" s="1535">
        <f>J251</f>
        <v>120</v>
      </c>
      <c r="K250" s="1534">
        <f>K251</f>
        <v>0</v>
      </c>
      <c r="L250" s="1534">
        <f t="shared" si="29"/>
        <v>0</v>
      </c>
      <c r="M250" s="2489"/>
      <c r="N250" s="833"/>
    </row>
    <row r="251" spans="1:14" ht="13.5" customHeight="1">
      <c r="A251" s="291" t="s">
        <v>329</v>
      </c>
      <c r="B251" s="298">
        <v>968</v>
      </c>
      <c r="C251" s="298">
        <v>113</v>
      </c>
      <c r="D251" s="298" t="s">
        <v>556</v>
      </c>
      <c r="E251" s="298">
        <v>500</v>
      </c>
      <c r="F251" s="304">
        <v>244</v>
      </c>
      <c r="G251" s="304">
        <v>226</v>
      </c>
      <c r="H251" s="1532">
        <f t="shared" si="27"/>
        <v>120</v>
      </c>
      <c r="I251" s="1533">
        <f>100-100</f>
        <v>0</v>
      </c>
      <c r="J251" s="1533">
        <f>100+100-80</f>
        <v>120</v>
      </c>
      <c r="K251" s="1532">
        <f>100+80-180</f>
        <v>0</v>
      </c>
      <c r="L251" s="1532">
        <f>100+180-280</f>
        <v>0</v>
      </c>
      <c r="M251" s="2489">
        <v>120</v>
      </c>
      <c r="N251" s="833"/>
    </row>
    <row r="252" spans="1:14" ht="13.5" customHeight="1">
      <c r="A252" s="310" t="s">
        <v>940</v>
      </c>
      <c r="B252" s="107">
        <v>968</v>
      </c>
      <c r="C252" s="107">
        <v>113</v>
      </c>
      <c r="D252" s="107" t="str">
        <f>D254</f>
        <v>092 05 00</v>
      </c>
      <c r="E252" s="107"/>
      <c r="F252" s="305"/>
      <c r="G252" s="305"/>
      <c r="H252" s="650">
        <f>H254</f>
        <v>72</v>
      </c>
      <c r="I252" s="777">
        <f aca="true" t="shared" si="30" ref="I252:L255">I253</f>
        <v>18</v>
      </c>
      <c r="J252" s="777">
        <f t="shared" si="30"/>
        <v>18</v>
      </c>
      <c r="K252" s="777">
        <f t="shared" si="30"/>
        <v>18</v>
      </c>
      <c r="L252" s="650">
        <f t="shared" si="30"/>
        <v>18</v>
      </c>
      <c r="M252" s="2489"/>
      <c r="N252" s="833"/>
    </row>
    <row r="253" spans="1:14" ht="13.5" customHeight="1">
      <c r="A253" s="310" t="s">
        <v>1161</v>
      </c>
      <c r="B253" s="1085">
        <v>968</v>
      </c>
      <c r="C253" s="1085">
        <v>113</v>
      </c>
      <c r="D253" s="1085" t="str">
        <f>D254</f>
        <v>092 05 00</v>
      </c>
      <c r="E253" s="1089">
        <v>13</v>
      </c>
      <c r="F253" s="1090">
        <v>800</v>
      </c>
      <c r="G253" s="305"/>
      <c r="H253" s="650">
        <f>SUM(I253:L253)</f>
        <v>72</v>
      </c>
      <c r="I253" s="777">
        <f t="shared" si="30"/>
        <v>18</v>
      </c>
      <c r="J253" s="777">
        <f t="shared" si="30"/>
        <v>18</v>
      </c>
      <c r="K253" s="777">
        <f t="shared" si="30"/>
        <v>18</v>
      </c>
      <c r="L253" s="650">
        <f t="shared" si="30"/>
        <v>18</v>
      </c>
      <c r="M253" s="2489"/>
      <c r="N253" s="833"/>
    </row>
    <row r="254" spans="1:14" ht="13.5" customHeight="1">
      <c r="A254" s="1078" t="s">
        <v>1259</v>
      </c>
      <c r="B254" s="1085">
        <v>968</v>
      </c>
      <c r="C254" s="1085">
        <v>113</v>
      </c>
      <c r="D254" s="1085" t="str">
        <f>D255</f>
        <v>092 05 00</v>
      </c>
      <c r="E254" s="1089">
        <v>13</v>
      </c>
      <c r="F254" s="1090">
        <v>853</v>
      </c>
      <c r="G254" s="1079"/>
      <c r="H254" s="1086">
        <f>H255</f>
        <v>72</v>
      </c>
      <c r="I254" s="1087">
        <f t="shared" si="30"/>
        <v>18</v>
      </c>
      <c r="J254" s="1087">
        <f t="shared" si="30"/>
        <v>18</v>
      </c>
      <c r="K254" s="1086">
        <f t="shared" si="30"/>
        <v>18</v>
      </c>
      <c r="L254" s="1086">
        <f t="shared" si="30"/>
        <v>18</v>
      </c>
      <c r="M254" s="2489"/>
      <c r="N254" s="833"/>
    </row>
    <row r="255" spans="1:14" ht="13.5" customHeight="1">
      <c r="A255" s="288" t="s">
        <v>326</v>
      </c>
      <c r="B255" s="97">
        <v>968</v>
      </c>
      <c r="C255" s="97">
        <v>113</v>
      </c>
      <c r="D255" s="97" t="str">
        <f>D256</f>
        <v>092 05 00</v>
      </c>
      <c r="E255" s="780">
        <v>13</v>
      </c>
      <c r="F255" s="1072">
        <v>853</v>
      </c>
      <c r="G255" s="302">
        <v>200</v>
      </c>
      <c r="H255" s="1534">
        <f>H256</f>
        <v>72</v>
      </c>
      <c r="I255" s="1535">
        <f t="shared" si="30"/>
        <v>18</v>
      </c>
      <c r="J255" s="1535">
        <f t="shared" si="30"/>
        <v>18</v>
      </c>
      <c r="K255" s="1534">
        <f t="shared" si="30"/>
        <v>18</v>
      </c>
      <c r="L255" s="1534">
        <f t="shared" si="30"/>
        <v>18</v>
      </c>
      <c r="M255" s="2489"/>
      <c r="N255" s="833"/>
    </row>
    <row r="256" spans="1:14" ht="13.5" customHeight="1">
      <c r="A256" s="290" t="s">
        <v>224</v>
      </c>
      <c r="B256" s="297">
        <v>968</v>
      </c>
      <c r="C256" s="297">
        <v>113</v>
      </c>
      <c r="D256" s="97" t="s">
        <v>470</v>
      </c>
      <c r="E256" s="781">
        <v>13</v>
      </c>
      <c r="F256" s="1073">
        <v>853</v>
      </c>
      <c r="G256" s="303">
        <v>290</v>
      </c>
      <c r="H256" s="2249">
        <f>SUM(I256:L256)</f>
        <v>72</v>
      </c>
      <c r="I256" s="2248">
        <v>18</v>
      </c>
      <c r="J256" s="2248">
        <v>18</v>
      </c>
      <c r="K256" s="2249">
        <v>18</v>
      </c>
      <c r="L256" s="2249">
        <v>18</v>
      </c>
      <c r="M256" s="2489">
        <v>72</v>
      </c>
      <c r="N256" s="833"/>
    </row>
    <row r="257" spans="1:14" ht="48" customHeight="1">
      <c r="A257" s="310" t="s">
        <v>941</v>
      </c>
      <c r="B257" s="107">
        <v>968</v>
      </c>
      <c r="C257" s="107">
        <v>113</v>
      </c>
      <c r="D257" s="107" t="str">
        <f>D259</f>
        <v>092 06 00</v>
      </c>
      <c r="E257" s="107"/>
      <c r="F257" s="305"/>
      <c r="G257" s="305"/>
      <c r="H257" s="650">
        <f>H259</f>
        <v>144</v>
      </c>
      <c r="I257" s="777">
        <f aca="true" t="shared" si="31" ref="I257:L260">I258</f>
        <v>0</v>
      </c>
      <c r="J257" s="777">
        <f t="shared" si="31"/>
        <v>98.99999999999999</v>
      </c>
      <c r="K257" s="777">
        <f t="shared" si="31"/>
        <v>0</v>
      </c>
      <c r="L257" s="650">
        <f t="shared" si="31"/>
        <v>45</v>
      </c>
      <c r="M257" s="2489"/>
      <c r="N257" s="833"/>
    </row>
    <row r="258" spans="1:14" ht="15" customHeight="1">
      <c r="A258" s="310" t="s">
        <v>1158</v>
      </c>
      <c r="B258" s="1085">
        <v>968</v>
      </c>
      <c r="C258" s="1085">
        <v>113</v>
      </c>
      <c r="D258" s="1085" t="str">
        <f>D259</f>
        <v>092 06 00</v>
      </c>
      <c r="E258" s="1085">
        <v>500</v>
      </c>
      <c r="F258" s="1079">
        <v>200</v>
      </c>
      <c r="G258" s="305"/>
      <c r="H258" s="650">
        <f>SUM(I258:L258)</f>
        <v>144</v>
      </c>
      <c r="I258" s="777">
        <f t="shared" si="31"/>
        <v>0</v>
      </c>
      <c r="J258" s="777">
        <f t="shared" si="31"/>
        <v>98.99999999999999</v>
      </c>
      <c r="K258" s="777">
        <f t="shared" si="31"/>
        <v>0</v>
      </c>
      <c r="L258" s="650">
        <f t="shared" si="31"/>
        <v>45</v>
      </c>
      <c r="M258" s="2489"/>
      <c r="N258" s="833"/>
    </row>
    <row r="259" spans="1:14" ht="12.75" customHeight="1">
      <c r="A259" s="1078" t="s">
        <v>1002</v>
      </c>
      <c r="B259" s="1085">
        <v>968</v>
      </c>
      <c r="C259" s="1085">
        <v>113</v>
      </c>
      <c r="D259" s="1085" t="str">
        <f>D260</f>
        <v>092 06 00</v>
      </c>
      <c r="E259" s="1085">
        <v>500</v>
      </c>
      <c r="F259" s="1079">
        <v>244</v>
      </c>
      <c r="G259" s="1079"/>
      <c r="H259" s="1086">
        <f>H260</f>
        <v>144</v>
      </c>
      <c r="I259" s="1087">
        <f t="shared" si="31"/>
        <v>0</v>
      </c>
      <c r="J259" s="1087">
        <f t="shared" si="31"/>
        <v>98.99999999999999</v>
      </c>
      <c r="K259" s="1086">
        <f t="shared" si="31"/>
        <v>0</v>
      </c>
      <c r="L259" s="1086">
        <f t="shared" si="31"/>
        <v>45</v>
      </c>
      <c r="M259" s="2489"/>
      <c r="N259" s="833"/>
    </row>
    <row r="260" spans="1:14" ht="12.75" customHeight="1">
      <c r="A260" s="288" t="s">
        <v>326</v>
      </c>
      <c r="B260" s="97">
        <v>968</v>
      </c>
      <c r="C260" s="97">
        <v>113</v>
      </c>
      <c r="D260" s="97" t="str">
        <f>D261</f>
        <v>092 06 00</v>
      </c>
      <c r="E260" s="97">
        <v>500</v>
      </c>
      <c r="F260" s="302">
        <v>244</v>
      </c>
      <c r="G260" s="302">
        <v>200</v>
      </c>
      <c r="H260" s="1534">
        <f>H261</f>
        <v>144</v>
      </c>
      <c r="I260" s="1535">
        <f t="shared" si="31"/>
        <v>0</v>
      </c>
      <c r="J260" s="1535">
        <f t="shared" si="31"/>
        <v>98.99999999999999</v>
      </c>
      <c r="K260" s="1534">
        <f t="shared" si="31"/>
        <v>0</v>
      </c>
      <c r="L260" s="1534">
        <f t="shared" si="31"/>
        <v>45</v>
      </c>
      <c r="M260" s="2489"/>
      <c r="N260" s="833"/>
    </row>
    <row r="261" spans="1:14" ht="15.75" customHeight="1">
      <c r="A261" s="561" t="s">
        <v>329</v>
      </c>
      <c r="B261" s="562">
        <v>968</v>
      </c>
      <c r="C261" s="562">
        <v>113</v>
      </c>
      <c r="D261" s="562" t="s">
        <v>942</v>
      </c>
      <c r="E261" s="562">
        <v>500</v>
      </c>
      <c r="F261" s="563">
        <v>244</v>
      </c>
      <c r="G261" s="563">
        <v>226</v>
      </c>
      <c r="H261" s="2181">
        <f>SUM(I261:L261)</f>
        <v>144</v>
      </c>
      <c r="I261" s="2182">
        <f>33.48-33.48</f>
        <v>0</v>
      </c>
      <c r="J261" s="2182">
        <f>133.48+33.48-67.96</f>
        <v>98.99999999999999</v>
      </c>
      <c r="K261" s="2182">
        <f>33.48+67.96-101.44</f>
        <v>0</v>
      </c>
      <c r="L261" s="2181">
        <f>133.48+101.44-189.92</f>
        <v>45</v>
      </c>
      <c r="M261" s="2489">
        <v>144</v>
      </c>
      <c r="N261" s="833"/>
    </row>
    <row r="262" spans="1:14" ht="15.75" customHeight="1" hidden="1">
      <c r="A262" s="310" t="s">
        <v>1015</v>
      </c>
      <c r="B262" s="107">
        <v>968</v>
      </c>
      <c r="C262" s="107">
        <v>113</v>
      </c>
      <c r="D262" s="107" t="s">
        <v>1014</v>
      </c>
      <c r="E262" s="107"/>
      <c r="F262" s="305"/>
      <c r="G262" s="305"/>
      <c r="H262" s="650">
        <f>H264</f>
        <v>0</v>
      </c>
      <c r="I262" s="777">
        <f aca="true" t="shared" si="32" ref="I262:L265">I263</f>
        <v>0</v>
      </c>
      <c r="J262" s="777">
        <f t="shared" si="32"/>
        <v>0</v>
      </c>
      <c r="K262" s="777">
        <f t="shared" si="32"/>
        <v>0</v>
      </c>
      <c r="L262" s="650">
        <f t="shared" si="32"/>
        <v>0</v>
      </c>
      <c r="M262" s="2489"/>
      <c r="N262" s="833"/>
    </row>
    <row r="263" spans="1:14" ht="15.75" customHeight="1" hidden="1">
      <c r="A263" s="310" t="s">
        <v>1158</v>
      </c>
      <c r="B263" s="1085">
        <v>968</v>
      </c>
      <c r="C263" s="1085">
        <v>113</v>
      </c>
      <c r="D263" s="1085" t="s">
        <v>1014</v>
      </c>
      <c r="E263" s="1085">
        <v>500</v>
      </c>
      <c r="F263" s="1079">
        <v>200</v>
      </c>
      <c r="G263" s="305"/>
      <c r="H263" s="650">
        <f>SUM(I263:L263)</f>
        <v>0</v>
      </c>
      <c r="I263" s="777">
        <f t="shared" si="32"/>
        <v>0</v>
      </c>
      <c r="J263" s="777">
        <f t="shared" si="32"/>
        <v>0</v>
      </c>
      <c r="K263" s="777">
        <f t="shared" si="32"/>
        <v>0</v>
      </c>
      <c r="L263" s="650">
        <f t="shared" si="32"/>
        <v>0</v>
      </c>
      <c r="M263" s="2489"/>
      <c r="N263" s="833"/>
    </row>
    <row r="264" spans="1:14" ht="27" customHeight="1" hidden="1">
      <c r="A264" s="1078" t="s">
        <v>1019</v>
      </c>
      <c r="B264" s="1085">
        <v>968</v>
      </c>
      <c r="C264" s="1085">
        <v>113</v>
      </c>
      <c r="D264" s="1085" t="s">
        <v>1014</v>
      </c>
      <c r="E264" s="1085">
        <v>500</v>
      </c>
      <c r="F264" s="1079">
        <v>242</v>
      </c>
      <c r="G264" s="1079"/>
      <c r="H264" s="1086">
        <f>H265</f>
        <v>0</v>
      </c>
      <c r="I264" s="1087">
        <f t="shared" si="32"/>
        <v>0</v>
      </c>
      <c r="J264" s="1087">
        <f t="shared" si="32"/>
        <v>0</v>
      </c>
      <c r="K264" s="1086">
        <f t="shared" si="32"/>
        <v>0</v>
      </c>
      <c r="L264" s="1086">
        <f t="shared" si="32"/>
        <v>0</v>
      </c>
      <c r="M264" s="2489"/>
      <c r="N264" s="833"/>
    </row>
    <row r="265" spans="1:14" ht="15.75" customHeight="1" hidden="1">
      <c r="A265" s="288" t="s">
        <v>326</v>
      </c>
      <c r="B265" s="97">
        <v>968</v>
      </c>
      <c r="C265" s="97">
        <v>113</v>
      </c>
      <c r="D265" s="97" t="s">
        <v>1014</v>
      </c>
      <c r="E265" s="97">
        <v>500</v>
      </c>
      <c r="F265" s="302">
        <v>242</v>
      </c>
      <c r="G265" s="302">
        <v>200</v>
      </c>
      <c r="H265" s="1534">
        <f>H266</f>
        <v>0</v>
      </c>
      <c r="I265" s="1535">
        <f t="shared" si="32"/>
        <v>0</v>
      </c>
      <c r="J265" s="1535">
        <f t="shared" si="32"/>
        <v>0</v>
      </c>
      <c r="K265" s="1534">
        <f t="shared" si="32"/>
        <v>0</v>
      </c>
      <c r="L265" s="1534">
        <f t="shared" si="32"/>
        <v>0</v>
      </c>
      <c r="M265" s="2489"/>
      <c r="N265" s="833"/>
    </row>
    <row r="266" spans="1:14" ht="15.75" customHeight="1" hidden="1">
      <c r="A266" s="561" t="s">
        <v>329</v>
      </c>
      <c r="B266" s="562">
        <v>968</v>
      </c>
      <c r="C266" s="562">
        <v>113</v>
      </c>
      <c r="D266" s="562" t="s">
        <v>1014</v>
      </c>
      <c r="E266" s="562">
        <v>500</v>
      </c>
      <c r="F266" s="563">
        <v>242</v>
      </c>
      <c r="G266" s="563">
        <v>226</v>
      </c>
      <c r="H266" s="2181">
        <f>SUM(I266:L266)</f>
        <v>0</v>
      </c>
      <c r="I266" s="2182">
        <f>65.85-20.85-45</f>
        <v>0</v>
      </c>
      <c r="J266" s="2182">
        <f>65.85-20.85-45</f>
        <v>0</v>
      </c>
      <c r="K266" s="2182">
        <f>65.85-20.85-45</f>
        <v>0</v>
      </c>
      <c r="L266" s="2181">
        <f>65.85-20.85-45</f>
        <v>0</v>
      </c>
      <c r="M266" s="2489"/>
      <c r="N266" s="833"/>
    </row>
    <row r="267" spans="1:14" ht="15.75" customHeight="1" hidden="1">
      <c r="A267" s="290" t="s">
        <v>224</v>
      </c>
      <c r="B267" s="562">
        <v>968</v>
      </c>
      <c r="C267" s="562">
        <v>113</v>
      </c>
      <c r="D267" s="562" t="s">
        <v>1020</v>
      </c>
      <c r="E267" s="562">
        <v>500</v>
      </c>
      <c r="F267" s="563">
        <v>244</v>
      </c>
      <c r="G267" s="563">
        <v>290</v>
      </c>
      <c r="H267" s="2205">
        <f>SUM(I267:L267)</f>
        <v>0</v>
      </c>
      <c r="I267" s="2206">
        <v>0</v>
      </c>
      <c r="J267" s="2206">
        <f>600-600</f>
        <v>0</v>
      </c>
      <c r="K267" s="2206">
        <v>0</v>
      </c>
      <c r="L267" s="2205">
        <v>0</v>
      </c>
      <c r="M267" s="2489"/>
      <c r="N267" s="833"/>
    </row>
    <row r="268" spans="1:14" ht="15.75" customHeight="1">
      <c r="A268" s="310" t="s">
        <v>1262</v>
      </c>
      <c r="B268" s="107">
        <v>968</v>
      </c>
      <c r="C268" s="107">
        <v>113</v>
      </c>
      <c r="D268" s="107" t="s">
        <v>1263</v>
      </c>
      <c r="E268" s="107"/>
      <c r="F268" s="305"/>
      <c r="G268" s="305"/>
      <c r="H268" s="650">
        <f>H270</f>
        <v>44.999999999999986</v>
      </c>
      <c r="I268" s="777">
        <f aca="true" t="shared" si="33" ref="I268:L270">I269</f>
        <v>0</v>
      </c>
      <c r="J268" s="777">
        <f t="shared" si="33"/>
        <v>0</v>
      </c>
      <c r="K268" s="777">
        <f t="shared" si="33"/>
        <v>0</v>
      </c>
      <c r="L268" s="650">
        <f t="shared" si="33"/>
        <v>44.999999999999986</v>
      </c>
      <c r="M268" s="2489"/>
      <c r="N268" s="833"/>
    </row>
    <row r="269" spans="1:14" ht="15.75" customHeight="1">
      <c r="A269" s="310" t="s">
        <v>1158</v>
      </c>
      <c r="B269" s="1085">
        <v>968</v>
      </c>
      <c r="C269" s="1085">
        <v>113</v>
      </c>
      <c r="D269" s="1085" t="s">
        <v>1263</v>
      </c>
      <c r="E269" s="1085">
        <v>500</v>
      </c>
      <c r="F269" s="1079">
        <v>200</v>
      </c>
      <c r="G269" s="305"/>
      <c r="H269" s="650">
        <f>SUM(I269:L269)</f>
        <v>44.999999999999986</v>
      </c>
      <c r="I269" s="777">
        <f t="shared" si="33"/>
        <v>0</v>
      </c>
      <c r="J269" s="777">
        <f t="shared" si="33"/>
        <v>0</v>
      </c>
      <c r="K269" s="777">
        <f t="shared" si="33"/>
        <v>0</v>
      </c>
      <c r="L269" s="650">
        <f t="shared" si="33"/>
        <v>44.999999999999986</v>
      </c>
      <c r="M269" s="2489"/>
      <c r="N269" s="833"/>
    </row>
    <row r="270" spans="1:14" ht="15.75" customHeight="1">
      <c r="A270" s="1078" t="s">
        <v>1002</v>
      </c>
      <c r="B270" s="1085">
        <v>968</v>
      </c>
      <c r="C270" s="1085">
        <v>113</v>
      </c>
      <c r="D270" s="1085" t="s">
        <v>1263</v>
      </c>
      <c r="E270" s="1085">
        <v>500</v>
      </c>
      <c r="F270" s="1079">
        <v>244</v>
      </c>
      <c r="G270" s="1079"/>
      <c r="H270" s="1086">
        <f>H271</f>
        <v>44.999999999999986</v>
      </c>
      <c r="I270" s="1087">
        <f t="shared" si="33"/>
        <v>0</v>
      </c>
      <c r="J270" s="1087">
        <f t="shared" si="33"/>
        <v>0</v>
      </c>
      <c r="K270" s="1086">
        <f t="shared" si="33"/>
        <v>0</v>
      </c>
      <c r="L270" s="1086">
        <f t="shared" si="33"/>
        <v>44.999999999999986</v>
      </c>
      <c r="M270" s="2489"/>
      <c r="N270" s="833"/>
    </row>
    <row r="271" spans="1:14" ht="15.75" customHeight="1">
      <c r="A271" s="288" t="s">
        <v>326</v>
      </c>
      <c r="B271" s="97">
        <v>968</v>
      </c>
      <c r="C271" s="97">
        <v>113</v>
      </c>
      <c r="D271" s="97" t="s">
        <v>1263</v>
      </c>
      <c r="E271" s="97">
        <v>500</v>
      </c>
      <c r="F271" s="302">
        <v>244</v>
      </c>
      <c r="G271" s="302">
        <v>200</v>
      </c>
      <c r="H271" s="1534">
        <f>SUM(I271:L271)</f>
        <v>44.999999999999986</v>
      </c>
      <c r="I271" s="1535">
        <f>SUM(I272:I272)</f>
        <v>0</v>
      </c>
      <c r="J271" s="1535">
        <f>SUM(J272:J272)</f>
        <v>0</v>
      </c>
      <c r="K271" s="1535">
        <f>SUM(K272:K272)</f>
        <v>0</v>
      </c>
      <c r="L271" s="1535">
        <f>SUM(L272:L272)</f>
        <v>44.999999999999986</v>
      </c>
      <c r="M271" s="2489"/>
      <c r="N271" s="833"/>
    </row>
    <row r="272" spans="1:14" ht="15.75" customHeight="1">
      <c r="A272" s="561" t="s">
        <v>329</v>
      </c>
      <c r="B272" s="562">
        <v>968</v>
      </c>
      <c r="C272" s="562">
        <v>113</v>
      </c>
      <c r="D272" s="562" t="s">
        <v>1263</v>
      </c>
      <c r="E272" s="562">
        <v>500</v>
      </c>
      <c r="F272" s="563">
        <v>244</v>
      </c>
      <c r="G272" s="563">
        <v>226</v>
      </c>
      <c r="H272" s="2181">
        <f>SUM(I272:L272)</f>
        <v>44.999999999999986</v>
      </c>
      <c r="I272" s="2182">
        <f>33.48-33.48</f>
        <v>0</v>
      </c>
      <c r="J272" s="2182">
        <f>33.48+33.48-66.96</f>
        <v>0</v>
      </c>
      <c r="K272" s="2182">
        <f>33.48+66.96-100.44</f>
        <v>0</v>
      </c>
      <c r="L272" s="2181">
        <f>33.48+100.44-88.92</f>
        <v>44.999999999999986</v>
      </c>
      <c r="M272" s="2489">
        <v>45</v>
      </c>
      <c r="N272" s="833"/>
    </row>
    <row r="273" spans="1:14" ht="24.75" customHeight="1">
      <c r="A273" s="310" t="s">
        <v>1379</v>
      </c>
      <c r="B273" s="107">
        <v>968</v>
      </c>
      <c r="C273" s="107">
        <v>113</v>
      </c>
      <c r="D273" s="107" t="str">
        <f>D275</f>
        <v>795 02 00</v>
      </c>
      <c r="E273" s="564"/>
      <c r="F273" s="1074"/>
      <c r="G273" s="314"/>
      <c r="H273" s="650">
        <f>H275</f>
        <v>80.642</v>
      </c>
      <c r="I273" s="777">
        <f aca="true" t="shared" si="34" ref="I273:L275">I274</f>
        <v>10.99</v>
      </c>
      <c r="J273" s="777">
        <f t="shared" si="34"/>
        <v>40.99</v>
      </c>
      <c r="K273" s="777">
        <f t="shared" si="34"/>
        <v>10.99</v>
      </c>
      <c r="L273" s="650">
        <f t="shared" si="34"/>
        <v>17.671999999999993</v>
      </c>
      <c r="M273" s="2489">
        <v>80.6</v>
      </c>
      <c r="N273" s="833"/>
    </row>
    <row r="274" spans="1:14" ht="15" customHeight="1">
      <c r="A274" s="310" t="s">
        <v>1158</v>
      </c>
      <c r="B274" s="1550">
        <v>968</v>
      </c>
      <c r="C274" s="1550">
        <v>113</v>
      </c>
      <c r="D274" s="1550" t="str">
        <f>D275</f>
        <v>795 02 00</v>
      </c>
      <c r="E274" s="1550">
        <v>500</v>
      </c>
      <c r="F274" s="1551">
        <v>200</v>
      </c>
      <c r="G274" s="314"/>
      <c r="H274" s="650">
        <f>SUM(I274:L274)</f>
        <v>80.642</v>
      </c>
      <c r="I274" s="777">
        <f t="shared" si="34"/>
        <v>10.99</v>
      </c>
      <c r="J274" s="777">
        <f t="shared" si="34"/>
        <v>40.99</v>
      </c>
      <c r="K274" s="777">
        <f t="shared" si="34"/>
        <v>10.99</v>
      </c>
      <c r="L274" s="650">
        <f t="shared" si="34"/>
        <v>17.671999999999993</v>
      </c>
      <c r="M274" s="833"/>
      <c r="N274" s="833"/>
    </row>
    <row r="275" spans="1:14" ht="15.75" customHeight="1">
      <c r="A275" s="1752" t="s">
        <v>1002</v>
      </c>
      <c r="B275" s="1550">
        <v>968</v>
      </c>
      <c r="C275" s="1550">
        <v>113</v>
      </c>
      <c r="D275" s="1550" t="str">
        <f>D276</f>
        <v>795 02 00</v>
      </c>
      <c r="E275" s="1550">
        <v>500</v>
      </c>
      <c r="F275" s="1551">
        <v>244</v>
      </c>
      <c r="G275" s="1551"/>
      <c r="H275" s="1086">
        <f>H276</f>
        <v>80.642</v>
      </c>
      <c r="I275" s="1087">
        <f t="shared" si="34"/>
        <v>10.99</v>
      </c>
      <c r="J275" s="1087">
        <f t="shared" si="34"/>
        <v>40.99</v>
      </c>
      <c r="K275" s="1086">
        <f t="shared" si="34"/>
        <v>10.99</v>
      </c>
      <c r="L275" s="1086">
        <f t="shared" si="34"/>
        <v>17.671999999999993</v>
      </c>
      <c r="M275" s="833"/>
      <c r="N275" s="833"/>
    </row>
    <row r="276" spans="1:14" ht="15.75" customHeight="1">
      <c r="A276" s="2186" t="s">
        <v>326</v>
      </c>
      <c r="B276" s="2187">
        <v>968</v>
      </c>
      <c r="C276" s="2187">
        <v>113</v>
      </c>
      <c r="D276" s="2187" t="str">
        <f>D277</f>
        <v>795 02 00</v>
      </c>
      <c r="E276" s="2187">
        <v>500</v>
      </c>
      <c r="F276" s="577">
        <v>244</v>
      </c>
      <c r="G276" s="577">
        <v>200</v>
      </c>
      <c r="H276" s="1534">
        <f aca="true" t="shared" si="35" ref="H276:H287">SUM(I276:L276)</f>
        <v>80.642</v>
      </c>
      <c r="I276" s="1534">
        <f>SUM(I278:I279)</f>
        <v>10.99</v>
      </c>
      <c r="J276" s="1534">
        <f>SUM(J278:J279)</f>
        <v>40.99</v>
      </c>
      <c r="K276" s="1534">
        <f>SUM(K278:K279)</f>
        <v>10.99</v>
      </c>
      <c r="L276" s="1534">
        <f>SUM(L278:L279)</f>
        <v>17.671999999999993</v>
      </c>
      <c r="M276" s="833"/>
      <c r="N276" s="833"/>
    </row>
    <row r="277" spans="1:14" ht="15.75" customHeight="1" hidden="1">
      <c r="A277" s="291" t="s">
        <v>111</v>
      </c>
      <c r="B277" s="298">
        <v>968</v>
      </c>
      <c r="C277" s="298">
        <v>113</v>
      </c>
      <c r="D277" s="298" t="str">
        <f>D278</f>
        <v>795 02 00</v>
      </c>
      <c r="E277" s="298">
        <v>500</v>
      </c>
      <c r="F277" s="304">
        <v>244</v>
      </c>
      <c r="G277" s="304">
        <v>222</v>
      </c>
      <c r="H277" s="1534">
        <f t="shared" si="35"/>
        <v>0</v>
      </c>
      <c r="I277" s="1535">
        <v>0</v>
      </c>
      <c r="J277" s="1535">
        <f>40-40</f>
        <v>0</v>
      </c>
      <c r="K277" s="1534">
        <v>0</v>
      </c>
      <c r="L277" s="1534">
        <v>0</v>
      </c>
      <c r="M277" s="833"/>
      <c r="N277" s="833"/>
    </row>
    <row r="278" spans="1:14" ht="15.75" customHeight="1">
      <c r="A278" s="291" t="s">
        <v>329</v>
      </c>
      <c r="B278" s="298">
        <v>968</v>
      </c>
      <c r="C278" s="298">
        <v>113</v>
      </c>
      <c r="D278" s="298" t="s">
        <v>945</v>
      </c>
      <c r="E278" s="298">
        <v>500</v>
      </c>
      <c r="F278" s="304">
        <v>244</v>
      </c>
      <c r="G278" s="304">
        <v>226</v>
      </c>
      <c r="H278" s="1532">
        <f t="shared" si="35"/>
        <v>50.641999999999996</v>
      </c>
      <c r="I278" s="1533">
        <f>15-4.01</f>
        <v>10.99</v>
      </c>
      <c r="J278" s="1533">
        <f>15-4.01</f>
        <v>10.99</v>
      </c>
      <c r="K278" s="1532">
        <f>15-4.01</f>
        <v>10.99</v>
      </c>
      <c r="L278" s="1532">
        <f>15+4.01+4.01+4.01-9.358</f>
        <v>17.671999999999993</v>
      </c>
      <c r="M278" s="833">
        <v>50.6</v>
      </c>
      <c r="N278" s="833"/>
    </row>
    <row r="279" spans="1:14" ht="15.75" customHeight="1">
      <c r="A279" s="290" t="s">
        <v>224</v>
      </c>
      <c r="B279" s="298">
        <v>968</v>
      </c>
      <c r="C279" s="298">
        <v>113</v>
      </c>
      <c r="D279" s="298" t="s">
        <v>945</v>
      </c>
      <c r="E279" s="298">
        <v>500</v>
      </c>
      <c r="F279" s="304">
        <v>244</v>
      </c>
      <c r="G279" s="1512">
        <v>290</v>
      </c>
      <c r="H279" s="2238">
        <f t="shared" si="35"/>
        <v>30</v>
      </c>
      <c r="I279" s="2239">
        <f>30-30</f>
        <v>0</v>
      </c>
      <c r="J279" s="2239">
        <f>30</f>
        <v>30</v>
      </c>
      <c r="K279" s="2238">
        <v>0</v>
      </c>
      <c r="L279" s="2238">
        <f>30-30</f>
        <v>0</v>
      </c>
      <c r="M279" s="833">
        <v>30</v>
      </c>
      <c r="N279" s="833"/>
    </row>
    <row r="280" spans="1:14" ht="54.75" customHeight="1">
      <c r="A280" s="310" t="s">
        <v>1369</v>
      </c>
      <c r="B280" s="107">
        <v>968</v>
      </c>
      <c r="C280" s="107">
        <v>113</v>
      </c>
      <c r="D280" s="107" t="s">
        <v>1269</v>
      </c>
      <c r="E280" s="564"/>
      <c r="F280" s="1074"/>
      <c r="G280" s="314"/>
      <c r="H280" s="650">
        <f>H282</f>
        <v>103.65199999999999</v>
      </c>
      <c r="I280" s="777">
        <f aca="true" t="shared" si="36" ref="I280:L282">I281</f>
        <v>10.989999999999995</v>
      </c>
      <c r="J280" s="777">
        <f t="shared" si="36"/>
        <v>64</v>
      </c>
      <c r="K280" s="777">
        <f t="shared" si="36"/>
        <v>10.989999999999998</v>
      </c>
      <c r="L280" s="650">
        <f t="shared" si="36"/>
        <v>17.671999999999997</v>
      </c>
      <c r="M280" s="833"/>
      <c r="N280" s="833"/>
    </row>
    <row r="281" spans="1:14" ht="15.75" customHeight="1">
      <c r="A281" s="310" t="s">
        <v>1158</v>
      </c>
      <c r="B281" s="1550">
        <v>968</v>
      </c>
      <c r="C281" s="1550">
        <v>113</v>
      </c>
      <c r="D281" s="1550" t="s">
        <v>1269</v>
      </c>
      <c r="E281" s="1550">
        <v>500</v>
      </c>
      <c r="F281" s="1551">
        <v>200</v>
      </c>
      <c r="G281" s="314"/>
      <c r="H281" s="650">
        <f>SUM(I281:L281)</f>
        <v>103.65199999999999</v>
      </c>
      <c r="I281" s="777">
        <f t="shared" si="36"/>
        <v>10.989999999999995</v>
      </c>
      <c r="J281" s="777">
        <f t="shared" si="36"/>
        <v>64</v>
      </c>
      <c r="K281" s="777">
        <f t="shared" si="36"/>
        <v>10.989999999999998</v>
      </c>
      <c r="L281" s="650">
        <f t="shared" si="36"/>
        <v>17.671999999999997</v>
      </c>
      <c r="M281" s="833"/>
      <c r="N281" s="833"/>
    </row>
    <row r="282" spans="1:14" ht="15.75" customHeight="1">
      <c r="A282" s="1752" t="s">
        <v>1002</v>
      </c>
      <c r="B282" s="1550">
        <v>968</v>
      </c>
      <c r="C282" s="1550">
        <v>113</v>
      </c>
      <c r="D282" s="1550" t="s">
        <v>1269</v>
      </c>
      <c r="E282" s="1550">
        <v>500</v>
      </c>
      <c r="F282" s="1551">
        <v>244</v>
      </c>
      <c r="G282" s="1551"/>
      <c r="H282" s="1086">
        <f>H283</f>
        <v>103.65199999999999</v>
      </c>
      <c r="I282" s="1087">
        <f t="shared" si="36"/>
        <v>10.989999999999995</v>
      </c>
      <c r="J282" s="1087">
        <f t="shared" si="36"/>
        <v>64</v>
      </c>
      <c r="K282" s="1086">
        <f t="shared" si="36"/>
        <v>10.989999999999998</v>
      </c>
      <c r="L282" s="1086">
        <f t="shared" si="36"/>
        <v>17.671999999999997</v>
      </c>
      <c r="M282" s="833"/>
      <c r="N282" s="833"/>
    </row>
    <row r="283" spans="1:14" ht="15.75" customHeight="1">
      <c r="A283" s="2186" t="s">
        <v>326</v>
      </c>
      <c r="B283" s="2187">
        <v>968</v>
      </c>
      <c r="C283" s="2187">
        <v>113</v>
      </c>
      <c r="D283" s="2187" t="s">
        <v>1269</v>
      </c>
      <c r="E283" s="2187">
        <v>500</v>
      </c>
      <c r="F283" s="577">
        <v>244</v>
      </c>
      <c r="G283" s="577">
        <v>200</v>
      </c>
      <c r="H283" s="1534">
        <f>SUM(I283:L283)</f>
        <v>103.65199999999999</v>
      </c>
      <c r="I283" s="1534">
        <f>SUM(I284:I285)</f>
        <v>10.989999999999995</v>
      </c>
      <c r="J283" s="1534">
        <f>SUM(J284:J285)</f>
        <v>64</v>
      </c>
      <c r="K283" s="1534">
        <f>SUM(K284:K285)</f>
        <v>10.989999999999998</v>
      </c>
      <c r="L283" s="1534">
        <f>SUM(L284:L285)</f>
        <v>17.671999999999997</v>
      </c>
      <c r="M283" s="833"/>
      <c r="N283" s="833"/>
    </row>
    <row r="284" spans="1:14" ht="15.75" customHeight="1" thickBot="1">
      <c r="A284" s="291" t="s">
        <v>329</v>
      </c>
      <c r="B284" s="298">
        <v>968</v>
      </c>
      <c r="C284" s="298">
        <v>113</v>
      </c>
      <c r="D284" s="298" t="s">
        <v>1269</v>
      </c>
      <c r="E284" s="298">
        <v>500</v>
      </c>
      <c r="F284" s="304">
        <v>244</v>
      </c>
      <c r="G284" s="304">
        <v>226</v>
      </c>
      <c r="H284" s="1534">
        <f>SUM(I284:L284)</f>
        <v>103.65199999999999</v>
      </c>
      <c r="I284" s="1535">
        <f>91.5-80.51</f>
        <v>10.989999999999995</v>
      </c>
      <c r="J284" s="1535">
        <f>15+76.5-27.5</f>
        <v>64</v>
      </c>
      <c r="K284" s="1534">
        <f>15+27.5-31.51</f>
        <v>10.989999999999998</v>
      </c>
      <c r="L284" s="1534">
        <f>15+4.01+31.51-32.848</f>
        <v>17.671999999999997</v>
      </c>
      <c r="M284" s="2489">
        <v>103.7</v>
      </c>
      <c r="N284" s="833"/>
    </row>
    <row r="285" spans="1:14" ht="15.75" customHeight="1" hidden="1" thickBot="1">
      <c r="A285" s="290" t="s">
        <v>224</v>
      </c>
      <c r="B285" s="298">
        <v>968</v>
      </c>
      <c r="C285" s="298">
        <v>113</v>
      </c>
      <c r="D285" s="298" t="s">
        <v>1269</v>
      </c>
      <c r="E285" s="298">
        <v>500</v>
      </c>
      <c r="F285" s="304">
        <v>244</v>
      </c>
      <c r="G285" s="1512">
        <v>290</v>
      </c>
      <c r="H285" s="2207">
        <f>SUM(I285:L285)</f>
        <v>0</v>
      </c>
      <c r="I285" s="2208">
        <v>0</v>
      </c>
      <c r="J285" s="2208">
        <v>0</v>
      </c>
      <c r="K285" s="2207">
        <v>0</v>
      </c>
      <c r="L285" s="2207">
        <f>30-30</f>
        <v>0</v>
      </c>
      <c r="M285" s="2489"/>
      <c r="N285" s="833"/>
    </row>
    <row r="286" spans="1:14" ht="24.75" customHeight="1" thickBot="1">
      <c r="A286" s="569" t="s">
        <v>227</v>
      </c>
      <c r="B286" s="570">
        <v>968</v>
      </c>
      <c r="C286" s="570">
        <v>300</v>
      </c>
      <c r="D286" s="570"/>
      <c r="E286" s="570"/>
      <c r="F286" s="571"/>
      <c r="G286" s="571"/>
      <c r="H286" s="2247">
        <f t="shared" si="35"/>
        <v>227.635</v>
      </c>
      <c r="I286" s="2247">
        <f>I287</f>
        <v>53.755</v>
      </c>
      <c r="J286" s="2247">
        <f>J287</f>
        <v>83.61000000000001</v>
      </c>
      <c r="K286" s="2247">
        <f>K287</f>
        <v>24.624000000000002</v>
      </c>
      <c r="L286" s="2247">
        <f>L287</f>
        <v>65.64599999999999</v>
      </c>
      <c r="M286" s="2489"/>
      <c r="N286" s="833"/>
    </row>
    <row r="287" spans="1:14" ht="33" customHeight="1">
      <c r="A287" s="640" t="s">
        <v>855</v>
      </c>
      <c r="B287" s="566">
        <v>968</v>
      </c>
      <c r="C287" s="566">
        <v>309</v>
      </c>
      <c r="D287" s="566"/>
      <c r="E287" s="566"/>
      <c r="F287" s="567"/>
      <c r="G287" s="567"/>
      <c r="H287" s="2244">
        <f t="shared" si="35"/>
        <v>227.635</v>
      </c>
      <c r="I287" s="2243">
        <f>I288+I309</f>
        <v>53.755</v>
      </c>
      <c r="J287" s="2243">
        <f>J288+J309</f>
        <v>83.61000000000001</v>
      </c>
      <c r="K287" s="2243">
        <f>K288+K309</f>
        <v>24.624000000000002</v>
      </c>
      <c r="L287" s="2243">
        <f>L288+L309</f>
        <v>65.64599999999999</v>
      </c>
      <c r="M287" s="2489">
        <v>227.6</v>
      </c>
      <c r="N287" s="833"/>
    </row>
    <row r="288" spans="1:14" ht="80.25" customHeight="1">
      <c r="A288" s="1499" t="s">
        <v>1370</v>
      </c>
      <c r="B288" s="100">
        <v>968</v>
      </c>
      <c r="C288" s="100">
        <v>309</v>
      </c>
      <c r="D288" s="100" t="s">
        <v>1268</v>
      </c>
      <c r="E288" s="100"/>
      <c r="F288" s="312"/>
      <c r="G288" s="312"/>
      <c r="H288" s="639">
        <f>H290</f>
        <v>141.993</v>
      </c>
      <c r="I288" s="1749">
        <f aca="true" t="shared" si="37" ref="I288:L289">I289</f>
        <v>42.765</v>
      </c>
      <c r="J288" s="1749">
        <f t="shared" si="37"/>
        <v>42.620000000000005</v>
      </c>
      <c r="K288" s="1749">
        <f t="shared" si="37"/>
        <v>11.134</v>
      </c>
      <c r="L288" s="639">
        <f t="shared" si="37"/>
        <v>45.47399999999999</v>
      </c>
      <c r="M288" s="2489"/>
      <c r="N288" s="833"/>
    </row>
    <row r="289" spans="1:14" ht="18" customHeight="1">
      <c r="A289" s="310" t="s">
        <v>1158</v>
      </c>
      <c r="B289" s="1550">
        <v>968</v>
      </c>
      <c r="C289" s="1550">
        <v>309</v>
      </c>
      <c r="D289" s="1550" t="s">
        <v>1268</v>
      </c>
      <c r="E289" s="1550">
        <v>500</v>
      </c>
      <c r="F289" s="1551">
        <v>200</v>
      </c>
      <c r="G289" s="312"/>
      <c r="H289" s="639">
        <f>SUM(I289:L289)</f>
        <v>141.993</v>
      </c>
      <c r="I289" s="1749">
        <f t="shared" si="37"/>
        <v>42.765</v>
      </c>
      <c r="J289" s="1749">
        <f t="shared" si="37"/>
        <v>42.620000000000005</v>
      </c>
      <c r="K289" s="1749">
        <f t="shared" si="37"/>
        <v>11.134</v>
      </c>
      <c r="L289" s="639">
        <f t="shared" si="37"/>
        <v>45.47399999999999</v>
      </c>
      <c r="M289" s="2489"/>
      <c r="N289" s="833"/>
    </row>
    <row r="290" spans="1:14" ht="12.75">
      <c r="A290" s="1078" t="s">
        <v>1002</v>
      </c>
      <c r="B290" s="1085">
        <v>968</v>
      </c>
      <c r="C290" s="1085">
        <v>309</v>
      </c>
      <c r="D290" s="1085" t="s">
        <v>1268</v>
      </c>
      <c r="E290" s="1085">
        <v>500</v>
      </c>
      <c r="F290" s="1079">
        <v>244</v>
      </c>
      <c r="G290" s="1079"/>
      <c r="H290" s="1086">
        <f>H291+H293</f>
        <v>141.993</v>
      </c>
      <c r="I290" s="1087">
        <f>I291+I293</f>
        <v>42.765</v>
      </c>
      <c r="J290" s="1087">
        <f>J291+J293</f>
        <v>42.620000000000005</v>
      </c>
      <c r="K290" s="1086">
        <f>K291+K293</f>
        <v>11.134</v>
      </c>
      <c r="L290" s="1086">
        <f>L291+L293</f>
        <v>45.47399999999999</v>
      </c>
      <c r="M290" s="2489"/>
      <c r="N290" s="833"/>
    </row>
    <row r="291" spans="1:14" ht="12.75">
      <c r="A291" s="289" t="s">
        <v>326</v>
      </c>
      <c r="B291" s="101">
        <v>968</v>
      </c>
      <c r="C291" s="101">
        <v>309</v>
      </c>
      <c r="D291" s="101" t="s">
        <v>1268</v>
      </c>
      <c r="E291" s="101">
        <v>500</v>
      </c>
      <c r="F291" s="282">
        <v>244</v>
      </c>
      <c r="G291" s="282">
        <v>200</v>
      </c>
      <c r="H291" s="2184">
        <f>H292</f>
        <v>141.993</v>
      </c>
      <c r="I291" s="2185">
        <f>I292</f>
        <v>42.765</v>
      </c>
      <c r="J291" s="2185">
        <f>J292</f>
        <v>42.620000000000005</v>
      </c>
      <c r="K291" s="2184">
        <f>K292</f>
        <v>11.134</v>
      </c>
      <c r="L291" s="2184">
        <f>L292</f>
        <v>45.47399999999999</v>
      </c>
      <c r="M291" s="2489"/>
      <c r="N291" s="833"/>
    </row>
    <row r="292" spans="1:14" ht="12.75">
      <c r="A292" s="291" t="s">
        <v>329</v>
      </c>
      <c r="B292" s="298">
        <v>968</v>
      </c>
      <c r="C292" s="298">
        <v>309</v>
      </c>
      <c r="D292" s="298" t="str">
        <f>Пцс!C50</f>
        <v>795 03 00</v>
      </c>
      <c r="E292" s="298">
        <v>500</v>
      </c>
      <c r="F292" s="304">
        <v>244</v>
      </c>
      <c r="G292" s="304">
        <v>226</v>
      </c>
      <c r="H292" s="1532">
        <f>SUM(I292:L292)</f>
        <v>141.993</v>
      </c>
      <c r="I292" s="1533">
        <f>46.775-4.01</f>
        <v>42.765</v>
      </c>
      <c r="J292" s="1533">
        <f>46.774-4.154</f>
        <v>42.620000000000005</v>
      </c>
      <c r="K292" s="1532">
        <f>15-3.866</f>
        <v>11.134</v>
      </c>
      <c r="L292" s="1532">
        <f>42.802+4.01+4.154+3.866-9.358</f>
        <v>45.47399999999999</v>
      </c>
      <c r="M292" s="2489">
        <v>142</v>
      </c>
      <c r="N292" s="833"/>
    </row>
    <row r="293" spans="1:14" ht="12.75" hidden="1">
      <c r="A293" s="288" t="s">
        <v>330</v>
      </c>
      <c r="B293" s="564">
        <v>968</v>
      </c>
      <c r="C293" s="564">
        <v>309</v>
      </c>
      <c r="D293" s="564" t="s">
        <v>493</v>
      </c>
      <c r="E293" s="564">
        <v>500</v>
      </c>
      <c r="F293" s="1074"/>
      <c r="G293" s="577">
        <v>300</v>
      </c>
      <c r="H293" s="2201">
        <f>SUM(H294:H295)</f>
        <v>0</v>
      </c>
      <c r="I293" s="2202">
        <f>SUM(I294:I295)</f>
        <v>0</v>
      </c>
      <c r="J293" s="2202">
        <f>SUM(J294:J295)</f>
        <v>0</v>
      </c>
      <c r="K293" s="2202">
        <f>SUM(K294:K295)</f>
        <v>0</v>
      </c>
      <c r="L293" s="2201">
        <f>SUM(L294:L295)</f>
        <v>0</v>
      </c>
      <c r="M293" s="2489"/>
      <c r="N293" s="833"/>
    </row>
    <row r="294" spans="1:14" ht="12.75" hidden="1">
      <c r="A294" s="291" t="s">
        <v>225</v>
      </c>
      <c r="B294" s="298">
        <v>968</v>
      </c>
      <c r="C294" s="298">
        <v>309</v>
      </c>
      <c r="D294" s="298" t="s">
        <v>493</v>
      </c>
      <c r="E294" s="298">
        <v>500</v>
      </c>
      <c r="F294" s="304"/>
      <c r="G294" s="304">
        <v>310</v>
      </c>
      <c r="H294" s="2203">
        <f>SUM(I294:L294)</f>
        <v>0</v>
      </c>
      <c r="I294" s="2204">
        <v>0</v>
      </c>
      <c r="J294" s="2204">
        <v>0</v>
      </c>
      <c r="K294" s="2203">
        <v>0</v>
      </c>
      <c r="L294" s="2203">
        <v>0</v>
      </c>
      <c r="M294" s="2489"/>
      <c r="N294" s="833"/>
    </row>
    <row r="295" spans="1:14" ht="12.75" hidden="1">
      <c r="A295" s="291" t="s">
        <v>226</v>
      </c>
      <c r="B295" s="298">
        <v>968</v>
      </c>
      <c r="C295" s="298">
        <v>309</v>
      </c>
      <c r="D295" s="298" t="s">
        <v>493</v>
      </c>
      <c r="E295" s="298">
        <v>500</v>
      </c>
      <c r="F295" s="304"/>
      <c r="G295" s="304">
        <v>340</v>
      </c>
      <c r="H295" s="2203">
        <f>SUM(I295:L295)</f>
        <v>0</v>
      </c>
      <c r="I295" s="2204">
        <v>0</v>
      </c>
      <c r="J295" s="2204">
        <v>0</v>
      </c>
      <c r="K295" s="2203">
        <v>0</v>
      </c>
      <c r="L295" s="2203">
        <v>0</v>
      </c>
      <c r="M295" s="2489"/>
      <c r="N295" s="833"/>
    </row>
    <row r="296" spans="1:14" ht="12.75" hidden="1">
      <c r="A296" s="288" t="s">
        <v>330</v>
      </c>
      <c r="B296" s="564">
        <v>968</v>
      </c>
      <c r="C296" s="564">
        <v>309</v>
      </c>
      <c r="D296" s="564" t="str">
        <f>D297</f>
        <v>219 01 00</v>
      </c>
      <c r="E296" s="564">
        <v>500</v>
      </c>
      <c r="F296" s="1074">
        <v>240</v>
      </c>
      <c r="G296" s="577">
        <v>300</v>
      </c>
      <c r="H296" s="2201">
        <f>SUM(H297:H304)</f>
        <v>0</v>
      </c>
      <c r="I296" s="2201">
        <f>SUM(I297:I304)</f>
        <v>0</v>
      </c>
      <c r="J296" s="2202">
        <f>SUM(J297:J304)</f>
        <v>0</v>
      </c>
      <c r="K296" s="2201">
        <f>SUM(K297:K304)</f>
        <v>0</v>
      </c>
      <c r="L296" s="2201">
        <f>SUM(L297:L304)</f>
        <v>0</v>
      </c>
      <c r="M296" s="2489"/>
      <c r="N296" s="833"/>
    </row>
    <row r="297" spans="1:14" ht="12.75" hidden="1">
      <c r="A297" s="291" t="s">
        <v>225</v>
      </c>
      <c r="B297" s="298">
        <v>968</v>
      </c>
      <c r="C297" s="564">
        <v>309</v>
      </c>
      <c r="D297" s="564" t="s">
        <v>954</v>
      </c>
      <c r="E297" s="564">
        <v>500</v>
      </c>
      <c r="F297" s="1074">
        <v>240</v>
      </c>
      <c r="G297" s="304">
        <v>310</v>
      </c>
      <c r="H297" s="2203">
        <f>SUM(I297:L297)</f>
        <v>0</v>
      </c>
      <c r="I297" s="2204">
        <v>0</v>
      </c>
      <c r="J297" s="2204">
        <v>0</v>
      </c>
      <c r="K297" s="2203">
        <v>0</v>
      </c>
      <c r="L297" s="2203">
        <v>0</v>
      </c>
      <c r="M297" s="2489"/>
      <c r="N297" s="833"/>
    </row>
    <row r="298" spans="1:14" ht="34.5" customHeight="1" hidden="1">
      <c r="A298" s="313" t="s">
        <v>28</v>
      </c>
      <c r="B298" s="286">
        <v>968</v>
      </c>
      <c r="C298" s="286">
        <v>309</v>
      </c>
      <c r="D298" s="286" t="s">
        <v>13</v>
      </c>
      <c r="E298" s="107"/>
      <c r="F298" s="305"/>
      <c r="G298" s="305"/>
      <c r="H298" s="2203">
        <f aca="true" t="shared" si="38" ref="H298:H304">SUM(I298:L298)</f>
        <v>0</v>
      </c>
      <c r="I298" s="2214">
        <f>I299</f>
        <v>0</v>
      </c>
      <c r="J298" s="2214">
        <f>J299</f>
        <v>0</v>
      </c>
      <c r="K298" s="2215">
        <f>K299</f>
        <v>0</v>
      </c>
      <c r="L298" s="2215">
        <f>L299</f>
        <v>0</v>
      </c>
      <c r="M298" s="2489"/>
      <c r="N298" s="833"/>
    </row>
    <row r="299" spans="1:14" ht="12.75" hidden="1">
      <c r="A299" s="310" t="s">
        <v>415</v>
      </c>
      <c r="B299" s="97">
        <v>968</v>
      </c>
      <c r="C299" s="97">
        <v>309</v>
      </c>
      <c r="D299" s="97" t="s">
        <v>13</v>
      </c>
      <c r="E299" s="97">
        <v>500</v>
      </c>
      <c r="F299" s="302"/>
      <c r="G299" s="302"/>
      <c r="H299" s="2203">
        <f t="shared" si="38"/>
        <v>0</v>
      </c>
      <c r="I299" s="2202">
        <f>I300+I302</f>
        <v>0</v>
      </c>
      <c r="J299" s="2202">
        <f>J300+J302</f>
        <v>0</v>
      </c>
      <c r="K299" s="2201">
        <f>K300+K302</f>
        <v>0</v>
      </c>
      <c r="L299" s="2201">
        <f>L300+L302</f>
        <v>0</v>
      </c>
      <c r="M299" s="2489"/>
      <c r="N299" s="833"/>
    </row>
    <row r="300" spans="1:14" ht="12.75" hidden="1">
      <c r="A300" s="289" t="s">
        <v>326</v>
      </c>
      <c r="B300" s="101">
        <v>968</v>
      </c>
      <c r="C300" s="101">
        <v>309</v>
      </c>
      <c r="D300" s="101" t="s">
        <v>13</v>
      </c>
      <c r="E300" s="101">
        <v>500</v>
      </c>
      <c r="F300" s="282"/>
      <c r="G300" s="282">
        <v>200</v>
      </c>
      <c r="H300" s="2203">
        <f t="shared" si="38"/>
        <v>0</v>
      </c>
      <c r="I300" s="2213">
        <f>I301</f>
        <v>0</v>
      </c>
      <c r="J300" s="2213">
        <f>J301</f>
        <v>0</v>
      </c>
      <c r="K300" s="2212">
        <f>K301</f>
        <v>0</v>
      </c>
      <c r="L300" s="2212">
        <f>L301</f>
        <v>0</v>
      </c>
      <c r="M300" s="2489"/>
      <c r="N300" s="833"/>
    </row>
    <row r="301" spans="1:14" ht="12.75" hidden="1">
      <c r="A301" s="291" t="s">
        <v>329</v>
      </c>
      <c r="B301" s="298">
        <v>968</v>
      </c>
      <c r="C301" s="298">
        <v>309</v>
      </c>
      <c r="D301" s="298" t="s">
        <v>13</v>
      </c>
      <c r="E301" s="298">
        <v>500</v>
      </c>
      <c r="F301" s="304"/>
      <c r="G301" s="304">
        <v>226</v>
      </c>
      <c r="H301" s="2203">
        <f t="shared" si="38"/>
        <v>0</v>
      </c>
      <c r="I301" s="2204">
        <v>0</v>
      </c>
      <c r="J301" s="2204">
        <v>0</v>
      </c>
      <c r="K301" s="2203">
        <v>0</v>
      </c>
      <c r="L301" s="2203">
        <v>0</v>
      </c>
      <c r="M301" s="2489"/>
      <c r="N301" s="833"/>
    </row>
    <row r="302" spans="1:14" ht="12.75" hidden="1">
      <c r="A302" s="288" t="s">
        <v>330</v>
      </c>
      <c r="B302" s="564">
        <v>968</v>
      </c>
      <c r="C302" s="564">
        <v>309</v>
      </c>
      <c r="D302" s="564" t="s">
        <v>13</v>
      </c>
      <c r="E302" s="564">
        <v>500</v>
      </c>
      <c r="F302" s="1074"/>
      <c r="G302" s="577">
        <v>300</v>
      </c>
      <c r="H302" s="2203">
        <f t="shared" si="38"/>
        <v>0</v>
      </c>
      <c r="I302" s="2202">
        <f>I303</f>
        <v>0</v>
      </c>
      <c r="J302" s="2202">
        <f>J303</f>
        <v>0</v>
      </c>
      <c r="K302" s="2201">
        <f>K303</f>
        <v>0</v>
      </c>
      <c r="L302" s="2201">
        <f>L303</f>
        <v>0</v>
      </c>
      <c r="M302" s="2489"/>
      <c r="N302" s="833"/>
    </row>
    <row r="303" spans="1:14" ht="12.75" hidden="1">
      <c r="A303" s="291" t="s">
        <v>225</v>
      </c>
      <c r="B303" s="298">
        <v>968</v>
      </c>
      <c r="C303" s="298">
        <v>309</v>
      </c>
      <c r="D303" s="298" t="s">
        <v>13</v>
      </c>
      <c r="E303" s="298">
        <v>500</v>
      </c>
      <c r="F303" s="304"/>
      <c r="G303" s="304">
        <v>310</v>
      </c>
      <c r="H303" s="2203">
        <f t="shared" si="38"/>
        <v>0</v>
      </c>
      <c r="I303" s="2204">
        <v>0</v>
      </c>
      <c r="J303" s="2204">
        <v>0</v>
      </c>
      <c r="K303" s="2203">
        <v>0</v>
      </c>
      <c r="L303" s="2203">
        <v>0</v>
      </c>
      <c r="M303" s="2489"/>
      <c r="N303" s="833"/>
    </row>
    <row r="304" spans="1:14" ht="12.75" hidden="1">
      <c r="A304" s="291" t="s">
        <v>226</v>
      </c>
      <c r="B304" s="298">
        <v>968</v>
      </c>
      <c r="C304" s="298">
        <v>309</v>
      </c>
      <c r="D304" s="298" t="s">
        <v>494</v>
      </c>
      <c r="E304" s="298">
        <v>500</v>
      </c>
      <c r="F304" s="304"/>
      <c r="G304" s="304">
        <v>340</v>
      </c>
      <c r="H304" s="2203">
        <f t="shared" si="38"/>
        <v>0</v>
      </c>
      <c r="I304" s="2204">
        <v>0</v>
      </c>
      <c r="J304" s="2204">
        <v>0</v>
      </c>
      <c r="K304" s="2203">
        <v>0</v>
      </c>
      <c r="L304" s="2203">
        <v>0</v>
      </c>
      <c r="M304" s="2489"/>
      <c r="N304" s="833"/>
    </row>
    <row r="305" spans="1:16" ht="25.5" customHeight="1" hidden="1">
      <c r="A305" s="117"/>
      <c r="B305" s="38"/>
      <c r="C305" s="38"/>
      <c r="D305" s="38"/>
      <c r="E305" s="38"/>
      <c r="F305" s="38"/>
      <c r="G305" s="38"/>
      <c r="H305" s="2216"/>
      <c r="I305" s="2217"/>
      <c r="J305" s="2217"/>
      <c r="K305" s="2217"/>
      <c r="L305" s="2218"/>
      <c r="M305" s="2489"/>
      <c r="N305" s="833"/>
      <c r="O305" s="832"/>
      <c r="P305" s="832"/>
    </row>
    <row r="306" spans="1:14" ht="16.5" customHeight="1" hidden="1">
      <c r="A306" s="117"/>
      <c r="B306" s="38"/>
      <c r="C306" s="38"/>
      <c r="D306" s="38"/>
      <c r="E306" s="38"/>
      <c r="F306" s="38"/>
      <c r="G306" s="38"/>
      <c r="H306" s="2216"/>
      <c r="I306" s="2217"/>
      <c r="J306" s="2217"/>
      <c r="K306" s="2217"/>
      <c r="L306" s="2218"/>
      <c r="M306" s="2489"/>
      <c r="N306" s="833"/>
    </row>
    <row r="307" spans="1:14" ht="12.75" hidden="1">
      <c r="A307" s="117"/>
      <c r="B307" s="38"/>
      <c r="C307" s="38"/>
      <c r="D307" s="38"/>
      <c r="E307" s="38"/>
      <c r="F307" s="38"/>
      <c r="G307" s="38"/>
      <c r="H307" s="2216"/>
      <c r="I307" s="2217"/>
      <c r="J307" s="2217"/>
      <c r="K307" s="2217"/>
      <c r="L307" s="2218"/>
      <c r="M307" s="2489"/>
      <c r="N307" s="833"/>
    </row>
    <row r="308" spans="1:14" ht="12.75" hidden="1">
      <c r="A308" s="117"/>
      <c r="B308" s="38"/>
      <c r="C308" s="38"/>
      <c r="D308" s="38"/>
      <c r="E308" s="38"/>
      <c r="F308" s="38"/>
      <c r="G308" s="38"/>
      <c r="H308" s="2216"/>
      <c r="I308" s="2217"/>
      <c r="J308" s="2217"/>
      <c r="K308" s="2217"/>
      <c r="L308" s="2218"/>
      <c r="M308" s="2489"/>
      <c r="N308" s="833"/>
    </row>
    <row r="309" spans="1:14" ht="34.5" customHeight="1">
      <c r="A309" s="313" t="s">
        <v>1371</v>
      </c>
      <c r="B309" s="107">
        <v>968</v>
      </c>
      <c r="C309" s="107">
        <v>309</v>
      </c>
      <c r="D309" s="107" t="str">
        <f>D311</f>
        <v>795 05 00</v>
      </c>
      <c r="E309" s="107"/>
      <c r="F309" s="305"/>
      <c r="G309" s="305"/>
      <c r="H309" s="650">
        <f>H311</f>
        <v>85.642</v>
      </c>
      <c r="I309" s="777">
        <f aca="true" t="shared" si="39" ref="I309:L310">I310</f>
        <v>10.99</v>
      </c>
      <c r="J309" s="777">
        <f t="shared" si="39"/>
        <v>40.99</v>
      </c>
      <c r="K309" s="777">
        <f t="shared" si="39"/>
        <v>13.49</v>
      </c>
      <c r="L309" s="650">
        <f t="shared" si="39"/>
        <v>20.171999999999993</v>
      </c>
      <c r="M309" s="2489"/>
      <c r="N309" s="833"/>
    </row>
    <row r="310" spans="1:14" ht="15.75" customHeight="1">
      <c r="A310" s="310" t="s">
        <v>1158</v>
      </c>
      <c r="B310" s="1085">
        <v>968</v>
      </c>
      <c r="C310" s="1085">
        <v>309</v>
      </c>
      <c r="D310" s="1085" t="str">
        <f>D311</f>
        <v>795 05 00</v>
      </c>
      <c r="E310" s="1085">
        <v>500</v>
      </c>
      <c r="F310" s="1079">
        <v>200</v>
      </c>
      <c r="G310" s="305"/>
      <c r="H310" s="650">
        <f>SUM(I310:L310)</f>
        <v>85.642</v>
      </c>
      <c r="I310" s="777">
        <f t="shared" si="39"/>
        <v>10.99</v>
      </c>
      <c r="J310" s="777">
        <f t="shared" si="39"/>
        <v>40.99</v>
      </c>
      <c r="K310" s="777">
        <f t="shared" si="39"/>
        <v>13.49</v>
      </c>
      <c r="L310" s="650">
        <f t="shared" si="39"/>
        <v>20.171999999999993</v>
      </c>
      <c r="M310" s="2489"/>
      <c r="N310" s="833"/>
    </row>
    <row r="311" spans="1:14" ht="12.75">
      <c r="A311" s="1078" t="s">
        <v>1002</v>
      </c>
      <c r="B311" s="1085">
        <v>968</v>
      </c>
      <c r="C311" s="1085">
        <v>309</v>
      </c>
      <c r="D311" s="1085" t="str">
        <f>D312</f>
        <v>795 05 00</v>
      </c>
      <c r="E311" s="1085">
        <v>500</v>
      </c>
      <c r="F311" s="1079">
        <v>244</v>
      </c>
      <c r="G311" s="1079"/>
      <c r="H311" s="1086">
        <f>H312</f>
        <v>85.642</v>
      </c>
      <c r="I311" s="1087">
        <f>I312</f>
        <v>10.99</v>
      </c>
      <c r="J311" s="1087">
        <f>J312</f>
        <v>40.99</v>
      </c>
      <c r="K311" s="1086">
        <f>K312</f>
        <v>13.49</v>
      </c>
      <c r="L311" s="1086">
        <f>L312</f>
        <v>20.171999999999993</v>
      </c>
      <c r="M311" s="2489"/>
      <c r="N311" s="833"/>
    </row>
    <row r="312" spans="1:14" ht="12.75">
      <c r="A312" s="288" t="s">
        <v>326</v>
      </c>
      <c r="B312" s="97">
        <v>968</v>
      </c>
      <c r="C312" s="97">
        <v>309</v>
      </c>
      <c r="D312" s="97" t="str">
        <f>D313</f>
        <v>795 05 00</v>
      </c>
      <c r="E312" s="97">
        <v>500</v>
      </c>
      <c r="F312" s="302">
        <v>244</v>
      </c>
      <c r="G312" s="302">
        <v>200</v>
      </c>
      <c r="H312" s="1534">
        <f aca="true" t="shared" si="40" ref="H312:H318">SUM(I312:L312)</f>
        <v>85.642</v>
      </c>
      <c r="I312" s="1535">
        <f>SUM(I313:I314)</f>
        <v>10.99</v>
      </c>
      <c r="J312" s="1535">
        <f>SUM(J313:J314)</f>
        <v>40.99</v>
      </c>
      <c r="K312" s="1535">
        <f>SUM(K313:K314)</f>
        <v>13.49</v>
      </c>
      <c r="L312" s="1534">
        <f>SUM(L313:L314)</f>
        <v>20.171999999999993</v>
      </c>
      <c r="M312" s="2489">
        <v>85.6</v>
      </c>
      <c r="N312" s="833"/>
    </row>
    <row r="313" spans="1:14" ht="12.75">
      <c r="A313" s="561" t="s">
        <v>329</v>
      </c>
      <c r="B313" s="298">
        <v>968</v>
      </c>
      <c r="C313" s="298">
        <v>309</v>
      </c>
      <c r="D313" s="298" t="s">
        <v>15</v>
      </c>
      <c r="E313" s="298">
        <v>500</v>
      </c>
      <c r="F313" s="298">
        <v>244</v>
      </c>
      <c r="G313" s="298">
        <v>226</v>
      </c>
      <c r="H313" s="2165">
        <f t="shared" si="40"/>
        <v>55.641999999999996</v>
      </c>
      <c r="I313" s="2165">
        <f>15-4.01</f>
        <v>10.99</v>
      </c>
      <c r="J313" s="2165">
        <f>15-4.01</f>
        <v>10.99</v>
      </c>
      <c r="K313" s="2165">
        <f>15+3-4.51</f>
        <v>13.49</v>
      </c>
      <c r="L313" s="2237">
        <f>17+4.01+4.01+4.51-9.358</f>
        <v>20.171999999999993</v>
      </c>
      <c r="M313" s="833">
        <v>55.6</v>
      </c>
      <c r="N313" s="833"/>
    </row>
    <row r="314" spans="1:14" ht="13.5" thickBot="1">
      <c r="A314" s="290" t="s">
        <v>224</v>
      </c>
      <c r="B314" s="298">
        <v>968</v>
      </c>
      <c r="C314" s="298">
        <v>309</v>
      </c>
      <c r="D314" s="298" t="s">
        <v>15</v>
      </c>
      <c r="E314" s="298">
        <v>500</v>
      </c>
      <c r="F314" s="298">
        <v>244</v>
      </c>
      <c r="G314" s="298">
        <v>290</v>
      </c>
      <c r="H314" s="2165">
        <f t="shared" si="40"/>
        <v>30</v>
      </c>
      <c r="I314" s="2165">
        <f>60-30-30</f>
        <v>0</v>
      </c>
      <c r="J314" s="2165">
        <f>30+30-30</f>
        <v>30</v>
      </c>
      <c r="K314" s="2165">
        <v>0</v>
      </c>
      <c r="L314" s="2237">
        <f>30-30</f>
        <v>0</v>
      </c>
      <c r="M314" s="833">
        <v>30</v>
      </c>
      <c r="N314" s="833"/>
    </row>
    <row r="315" spans="1:14" ht="15.75" thickBot="1">
      <c r="A315" s="1043" t="s">
        <v>817</v>
      </c>
      <c r="B315" s="1788">
        <v>968</v>
      </c>
      <c r="C315" s="1788">
        <v>400</v>
      </c>
      <c r="D315" s="1788"/>
      <c r="E315" s="1788"/>
      <c r="F315" s="1789"/>
      <c r="G315" s="1789"/>
      <c r="H315" s="2250">
        <f t="shared" si="40"/>
        <v>172.414</v>
      </c>
      <c r="I315" s="2250">
        <f>I316+I322+I327</f>
        <v>0</v>
      </c>
      <c r="J315" s="2250">
        <f>J316+J322+J327</f>
        <v>0</v>
      </c>
      <c r="K315" s="2250">
        <f>K316+K322+K327</f>
        <v>20</v>
      </c>
      <c r="L315" s="2250">
        <f>L316+L322+L327</f>
        <v>152.414</v>
      </c>
      <c r="M315" s="833">
        <v>172.4</v>
      </c>
      <c r="N315" s="833"/>
    </row>
    <row r="316" spans="1:14" ht="15">
      <c r="A316" s="640" t="s">
        <v>866</v>
      </c>
      <c r="B316" s="566">
        <v>968</v>
      </c>
      <c r="C316" s="566">
        <v>401</v>
      </c>
      <c r="D316" s="566"/>
      <c r="E316" s="566"/>
      <c r="F316" s="567"/>
      <c r="G316" s="567"/>
      <c r="H316" s="2241">
        <f t="shared" si="40"/>
        <v>152.414</v>
      </c>
      <c r="I316" s="2242">
        <f aca="true" t="shared" si="41" ref="I316:L317">I317</f>
        <v>0</v>
      </c>
      <c r="J316" s="2243">
        <f t="shared" si="41"/>
        <v>0</v>
      </c>
      <c r="K316" s="2244">
        <f t="shared" si="41"/>
        <v>0</v>
      </c>
      <c r="L316" s="2244">
        <f t="shared" si="41"/>
        <v>152.414</v>
      </c>
      <c r="M316" s="833"/>
      <c r="N316" s="833"/>
    </row>
    <row r="317" spans="1:14" ht="24">
      <c r="A317" s="310" t="s">
        <v>944</v>
      </c>
      <c r="B317" s="107">
        <v>968</v>
      </c>
      <c r="C317" s="107">
        <v>401</v>
      </c>
      <c r="D317" s="107" t="s">
        <v>867</v>
      </c>
      <c r="E317" s="107"/>
      <c r="F317" s="305"/>
      <c r="G317" s="305"/>
      <c r="H317" s="650">
        <f t="shared" si="40"/>
        <v>152.414</v>
      </c>
      <c r="I317" s="777">
        <f>I318</f>
        <v>0</v>
      </c>
      <c r="J317" s="777">
        <f t="shared" si="41"/>
        <v>0</v>
      </c>
      <c r="K317" s="777">
        <f t="shared" si="41"/>
        <v>0</v>
      </c>
      <c r="L317" s="650">
        <f t="shared" si="41"/>
        <v>152.414</v>
      </c>
      <c r="M317" s="833"/>
      <c r="N317" s="833"/>
    </row>
    <row r="318" spans="1:14" ht="12.75">
      <c r="A318" s="310" t="s">
        <v>1161</v>
      </c>
      <c r="B318" s="648">
        <v>968</v>
      </c>
      <c r="C318" s="648">
        <v>401</v>
      </c>
      <c r="D318" s="648" t="s">
        <v>867</v>
      </c>
      <c r="E318" s="1122">
        <v>6</v>
      </c>
      <c r="F318" s="1753">
        <v>800</v>
      </c>
      <c r="G318" s="1748"/>
      <c r="H318" s="639">
        <f t="shared" si="40"/>
        <v>152.414</v>
      </c>
      <c r="I318" s="1749">
        <f>I319</f>
        <v>0</v>
      </c>
      <c r="J318" s="1749">
        <f>J319</f>
        <v>0</v>
      </c>
      <c r="K318" s="1749">
        <f>K319</f>
        <v>0</v>
      </c>
      <c r="L318" s="639">
        <f>L319</f>
        <v>152.414</v>
      </c>
      <c r="M318" s="833"/>
      <c r="N318" s="833"/>
    </row>
    <row r="319" spans="1:14" ht="26.25" customHeight="1">
      <c r="A319" s="1752" t="s">
        <v>922</v>
      </c>
      <c r="B319" s="1550">
        <v>968</v>
      </c>
      <c r="C319" s="1550">
        <v>401</v>
      </c>
      <c r="D319" s="1550" t="s">
        <v>867</v>
      </c>
      <c r="E319" s="1750">
        <v>6</v>
      </c>
      <c r="F319" s="1751">
        <v>810</v>
      </c>
      <c r="G319" s="1551"/>
      <c r="H319" s="1086">
        <f aca="true" t="shared" si="42" ref="H319:L320">H320</f>
        <v>152.414</v>
      </c>
      <c r="I319" s="1087">
        <f t="shared" si="42"/>
        <v>0</v>
      </c>
      <c r="J319" s="1087">
        <f t="shared" si="42"/>
        <v>0</v>
      </c>
      <c r="K319" s="1086">
        <f t="shared" si="42"/>
        <v>0</v>
      </c>
      <c r="L319" s="1086">
        <f t="shared" si="42"/>
        <v>152.414</v>
      </c>
      <c r="M319" s="833"/>
      <c r="N319" s="833"/>
    </row>
    <row r="320" spans="1:14" ht="12.75">
      <c r="A320" s="288" t="s">
        <v>326</v>
      </c>
      <c r="B320" s="97">
        <v>968</v>
      </c>
      <c r="C320" s="97">
        <v>401</v>
      </c>
      <c r="D320" s="97" t="s">
        <v>867</v>
      </c>
      <c r="E320" s="780">
        <v>6</v>
      </c>
      <c r="F320" s="1072">
        <v>810</v>
      </c>
      <c r="G320" s="302">
        <v>200</v>
      </c>
      <c r="H320" s="1534">
        <f t="shared" si="42"/>
        <v>152.414</v>
      </c>
      <c r="I320" s="1535">
        <f t="shared" si="42"/>
        <v>0</v>
      </c>
      <c r="J320" s="1535">
        <f t="shared" si="42"/>
        <v>0</v>
      </c>
      <c r="K320" s="1534">
        <f t="shared" si="42"/>
        <v>0</v>
      </c>
      <c r="L320" s="1534">
        <f t="shared" si="42"/>
        <v>152.414</v>
      </c>
      <c r="M320" s="833"/>
      <c r="N320" s="833"/>
    </row>
    <row r="321" spans="1:14" ht="23.25" customHeight="1" thickBot="1">
      <c r="A321" s="851" t="s">
        <v>865</v>
      </c>
      <c r="B321" s="852">
        <v>968</v>
      </c>
      <c r="C321" s="852">
        <v>401</v>
      </c>
      <c r="D321" s="852" t="s">
        <v>867</v>
      </c>
      <c r="E321" s="1036">
        <v>6</v>
      </c>
      <c r="F321" s="1075">
        <v>810</v>
      </c>
      <c r="G321" s="853">
        <v>242</v>
      </c>
      <c r="H321" s="2245">
        <f>SUM(I321:L321)</f>
        <v>152.414</v>
      </c>
      <c r="I321" s="2240">
        <v>0</v>
      </c>
      <c r="J321" s="2240">
        <v>0</v>
      </c>
      <c r="K321" s="2240">
        <f>166.5-166.5</f>
        <v>0</v>
      </c>
      <c r="L321" s="2245">
        <f>166.5-14.086</f>
        <v>152.414</v>
      </c>
      <c r="M321" s="833">
        <v>152.4</v>
      </c>
      <c r="N321" s="833"/>
    </row>
    <row r="322" spans="1:14" ht="16.5" customHeight="1" hidden="1">
      <c r="A322" s="640" t="s">
        <v>988</v>
      </c>
      <c r="B322" s="566">
        <v>968</v>
      </c>
      <c r="C322" s="566">
        <v>410</v>
      </c>
      <c r="D322" s="566"/>
      <c r="E322" s="1037"/>
      <c r="F322" s="1076"/>
      <c r="G322" s="567"/>
      <c r="H322" s="2219">
        <f>SUM(I322:L322)</f>
        <v>0</v>
      </c>
      <c r="I322" s="2220">
        <f aca="true" t="shared" si="43" ref="I322:L323">I323</f>
        <v>0</v>
      </c>
      <c r="J322" s="2211">
        <f t="shared" si="43"/>
        <v>0</v>
      </c>
      <c r="K322" s="2210">
        <f t="shared" si="43"/>
        <v>0</v>
      </c>
      <c r="L322" s="2210">
        <f t="shared" si="43"/>
        <v>0</v>
      </c>
      <c r="M322" s="833"/>
      <c r="N322" s="833"/>
    </row>
    <row r="323" spans="1:14" ht="15" customHeight="1" hidden="1">
      <c r="A323" s="310" t="s">
        <v>989</v>
      </c>
      <c r="B323" s="107">
        <v>968</v>
      </c>
      <c r="C323" s="107">
        <v>410</v>
      </c>
      <c r="D323" s="107" t="s">
        <v>987</v>
      </c>
      <c r="E323" s="107"/>
      <c r="F323" s="305"/>
      <c r="G323" s="305"/>
      <c r="H323" s="2192">
        <f>SUM(I323:L323)</f>
        <v>0</v>
      </c>
      <c r="I323" s="2193">
        <f t="shared" si="43"/>
        <v>0</v>
      </c>
      <c r="J323" s="2193">
        <f t="shared" si="43"/>
        <v>0</v>
      </c>
      <c r="K323" s="2193">
        <f t="shared" si="43"/>
        <v>0</v>
      </c>
      <c r="L323" s="2192">
        <f t="shared" si="43"/>
        <v>0</v>
      </c>
      <c r="M323" s="833"/>
      <c r="N323" s="833"/>
    </row>
    <row r="324" spans="1:14" ht="18.75" customHeight="1" hidden="1">
      <c r="A324" s="1078" t="s">
        <v>920</v>
      </c>
      <c r="B324" s="1085">
        <v>968</v>
      </c>
      <c r="C324" s="1085">
        <v>410</v>
      </c>
      <c r="D324" s="1085" t="s">
        <v>987</v>
      </c>
      <c r="E324" s="1085">
        <v>500</v>
      </c>
      <c r="F324" s="1079">
        <v>240</v>
      </c>
      <c r="G324" s="1079"/>
      <c r="H324" s="2196">
        <f aca="true" t="shared" si="44" ref="H324:L325">H325</f>
        <v>0</v>
      </c>
      <c r="I324" s="2197">
        <f t="shared" si="44"/>
        <v>0</v>
      </c>
      <c r="J324" s="2197">
        <f t="shared" si="44"/>
        <v>0</v>
      </c>
      <c r="K324" s="2196">
        <f t="shared" si="44"/>
        <v>0</v>
      </c>
      <c r="L324" s="2196">
        <f t="shared" si="44"/>
        <v>0</v>
      </c>
      <c r="M324" s="833"/>
      <c r="N324" s="833"/>
    </row>
    <row r="325" spans="1:14" ht="15.75" customHeight="1" hidden="1">
      <c r="A325" s="288" t="s">
        <v>326</v>
      </c>
      <c r="B325" s="97">
        <v>968</v>
      </c>
      <c r="C325" s="97">
        <v>410</v>
      </c>
      <c r="D325" s="97" t="s">
        <v>987</v>
      </c>
      <c r="E325" s="97">
        <v>500</v>
      </c>
      <c r="F325" s="302">
        <v>240</v>
      </c>
      <c r="G325" s="302">
        <v>200</v>
      </c>
      <c r="H325" s="2201">
        <f t="shared" si="44"/>
        <v>0</v>
      </c>
      <c r="I325" s="2202">
        <f t="shared" si="44"/>
        <v>0</v>
      </c>
      <c r="J325" s="2202">
        <f t="shared" si="44"/>
        <v>0</v>
      </c>
      <c r="K325" s="2201">
        <f t="shared" si="44"/>
        <v>0</v>
      </c>
      <c r="L325" s="2201">
        <f t="shared" si="44"/>
        <v>0</v>
      </c>
      <c r="M325" s="833"/>
      <c r="N325" s="833"/>
    </row>
    <row r="326" spans="1:14" ht="15.75" customHeight="1" hidden="1" thickBot="1">
      <c r="A326" s="851" t="s">
        <v>329</v>
      </c>
      <c r="B326" s="852">
        <v>968</v>
      </c>
      <c r="C326" s="852">
        <v>410</v>
      </c>
      <c r="D326" s="852" t="s">
        <v>987</v>
      </c>
      <c r="E326" s="852">
        <v>500</v>
      </c>
      <c r="F326" s="853">
        <v>240</v>
      </c>
      <c r="G326" s="853">
        <v>226</v>
      </c>
      <c r="H326" s="2221">
        <f>SUM(I326:L326)</f>
        <v>0</v>
      </c>
      <c r="I326" s="2222">
        <v>0</v>
      </c>
      <c r="J326" s="2222">
        <v>0</v>
      </c>
      <c r="K326" s="2222">
        <v>0</v>
      </c>
      <c r="L326" s="2221">
        <v>0</v>
      </c>
      <c r="M326" s="833"/>
      <c r="N326" s="833"/>
    </row>
    <row r="327" spans="1:14" ht="15">
      <c r="A327" s="640" t="s">
        <v>818</v>
      </c>
      <c r="B327" s="566">
        <v>968</v>
      </c>
      <c r="C327" s="566">
        <v>412</v>
      </c>
      <c r="D327" s="566"/>
      <c r="E327" s="1037"/>
      <c r="F327" s="1076"/>
      <c r="G327" s="567"/>
      <c r="H327" s="2241">
        <f>SUM(I327:L327)</f>
        <v>20</v>
      </c>
      <c r="I327" s="2242">
        <f aca="true" t="shared" si="45" ref="I327:L328">I328</f>
        <v>0</v>
      </c>
      <c r="J327" s="2243">
        <f t="shared" si="45"/>
        <v>0</v>
      </c>
      <c r="K327" s="2244">
        <f t="shared" si="45"/>
        <v>20</v>
      </c>
      <c r="L327" s="2244">
        <f t="shared" si="45"/>
        <v>0</v>
      </c>
      <c r="M327" s="833"/>
      <c r="N327" s="833"/>
    </row>
    <row r="328" spans="1:14" ht="24">
      <c r="A328" s="310" t="s">
        <v>1372</v>
      </c>
      <c r="B328" s="107">
        <v>968</v>
      </c>
      <c r="C328" s="107">
        <v>412</v>
      </c>
      <c r="D328" s="107" t="s">
        <v>1264</v>
      </c>
      <c r="E328" s="107"/>
      <c r="F328" s="305"/>
      <c r="G328" s="305"/>
      <c r="H328" s="650">
        <f>SUM(I328:L328)</f>
        <v>20</v>
      </c>
      <c r="I328" s="777">
        <f>I329</f>
        <v>0</v>
      </c>
      <c r="J328" s="777">
        <f t="shared" si="45"/>
        <v>0</v>
      </c>
      <c r="K328" s="777">
        <f t="shared" si="45"/>
        <v>20</v>
      </c>
      <c r="L328" s="650">
        <f t="shared" si="45"/>
        <v>0</v>
      </c>
      <c r="M328" s="833"/>
      <c r="N328" s="833"/>
    </row>
    <row r="329" spans="1:14" ht="12.75">
      <c r="A329" s="310" t="s">
        <v>1158</v>
      </c>
      <c r="B329" s="1085">
        <v>968</v>
      </c>
      <c r="C329" s="1085">
        <v>412</v>
      </c>
      <c r="D329" s="1085" t="s">
        <v>1264</v>
      </c>
      <c r="E329" s="1085">
        <v>500</v>
      </c>
      <c r="F329" s="1079">
        <v>200</v>
      </c>
      <c r="G329" s="305"/>
      <c r="H329" s="650">
        <f>SUM(I329:L329)</f>
        <v>20</v>
      </c>
      <c r="I329" s="777">
        <f>I330</f>
        <v>0</v>
      </c>
      <c r="J329" s="777">
        <f>J330</f>
        <v>0</v>
      </c>
      <c r="K329" s="777">
        <f>K330</f>
        <v>20</v>
      </c>
      <c r="L329" s="650">
        <f>L330</f>
        <v>0</v>
      </c>
      <c r="M329" s="833"/>
      <c r="N329" s="833"/>
    </row>
    <row r="330" spans="1:14" ht="12.75">
      <c r="A330" s="1078" t="s">
        <v>1002</v>
      </c>
      <c r="B330" s="1085">
        <v>968</v>
      </c>
      <c r="C330" s="1085">
        <v>412</v>
      </c>
      <c r="D330" s="1085" t="s">
        <v>1264</v>
      </c>
      <c r="E330" s="1085">
        <v>500</v>
      </c>
      <c r="F330" s="1079">
        <v>244</v>
      </c>
      <c r="G330" s="1079"/>
      <c r="H330" s="1086">
        <f aca="true" t="shared" si="46" ref="H330:L331">H331</f>
        <v>20</v>
      </c>
      <c r="I330" s="1087">
        <f t="shared" si="46"/>
        <v>0</v>
      </c>
      <c r="J330" s="1087">
        <f t="shared" si="46"/>
        <v>0</v>
      </c>
      <c r="K330" s="1086">
        <f t="shared" si="46"/>
        <v>20</v>
      </c>
      <c r="L330" s="1086">
        <f t="shared" si="46"/>
        <v>0</v>
      </c>
      <c r="M330" s="833"/>
      <c r="N330" s="833"/>
    </row>
    <row r="331" spans="1:14" ht="12.75">
      <c r="A331" s="288" t="s">
        <v>326</v>
      </c>
      <c r="B331" s="97">
        <v>968</v>
      </c>
      <c r="C331" s="97">
        <v>412</v>
      </c>
      <c r="D331" s="97" t="s">
        <v>1264</v>
      </c>
      <c r="E331" s="97">
        <v>500</v>
      </c>
      <c r="F331" s="302">
        <v>244</v>
      </c>
      <c r="G331" s="302">
        <v>200</v>
      </c>
      <c r="H331" s="1534">
        <f t="shared" si="46"/>
        <v>20</v>
      </c>
      <c r="I331" s="1535">
        <f t="shared" si="46"/>
        <v>0</v>
      </c>
      <c r="J331" s="1535">
        <f t="shared" si="46"/>
        <v>0</v>
      </c>
      <c r="K331" s="1534">
        <f t="shared" si="46"/>
        <v>20</v>
      </c>
      <c r="L331" s="1534">
        <f t="shared" si="46"/>
        <v>0</v>
      </c>
      <c r="M331" s="833"/>
      <c r="N331" s="833"/>
    </row>
    <row r="332" spans="1:14" ht="13.5" thickBot="1">
      <c r="A332" s="851" t="s">
        <v>329</v>
      </c>
      <c r="B332" s="852">
        <v>968</v>
      </c>
      <c r="C332" s="852">
        <v>412</v>
      </c>
      <c r="D332" s="852" t="s">
        <v>1264</v>
      </c>
      <c r="E332" s="852">
        <v>500</v>
      </c>
      <c r="F332" s="853">
        <v>244</v>
      </c>
      <c r="G332" s="853">
        <v>226</v>
      </c>
      <c r="H332" s="2245">
        <f>SUM(I332:L332)</f>
        <v>20</v>
      </c>
      <c r="I332" s="2240">
        <v>0</v>
      </c>
      <c r="J332" s="2240">
        <v>0</v>
      </c>
      <c r="K332" s="2240">
        <v>20</v>
      </c>
      <c r="L332" s="2245">
        <v>0</v>
      </c>
      <c r="M332" s="833">
        <v>20</v>
      </c>
      <c r="N332" s="833"/>
    </row>
    <row r="333" spans="1:14" ht="15.75" thickBot="1">
      <c r="A333" s="569" t="s">
        <v>229</v>
      </c>
      <c r="B333" s="570">
        <v>968</v>
      </c>
      <c r="C333" s="570">
        <v>500</v>
      </c>
      <c r="D333" s="570"/>
      <c r="E333" s="570"/>
      <c r="F333" s="571"/>
      <c r="G333" s="571"/>
      <c r="H333" s="2247">
        <f>SUM(I333:L333)</f>
        <v>51177.611000000004</v>
      </c>
      <c r="I333" s="2247">
        <f>I334</f>
        <v>382.11</v>
      </c>
      <c r="J333" s="2266">
        <f>J334</f>
        <v>2111.376999999999</v>
      </c>
      <c r="K333" s="2247">
        <f>K334</f>
        <v>23679.127</v>
      </c>
      <c r="L333" s="2247">
        <f>L334</f>
        <v>25004.997</v>
      </c>
      <c r="M333" s="2489"/>
      <c r="N333" s="833"/>
    </row>
    <row r="334" spans="1:14" ht="15.75" thickBot="1">
      <c r="A334" s="311" t="s">
        <v>395</v>
      </c>
      <c r="B334" s="296">
        <v>968</v>
      </c>
      <c r="C334" s="296">
        <v>503</v>
      </c>
      <c r="D334" s="296"/>
      <c r="E334" s="296"/>
      <c r="F334" s="301"/>
      <c r="G334" s="301"/>
      <c r="H334" s="2267">
        <f>SUM(I334:L334)</f>
        <v>51177.611000000004</v>
      </c>
      <c r="I334" s="2267">
        <f>I335+I370+I390+I418</f>
        <v>382.11</v>
      </c>
      <c r="J334" s="2267">
        <f>J335+J370+J390+J418</f>
        <v>2111.376999999999</v>
      </c>
      <c r="K334" s="2267">
        <f>K335+K370+K390+K418</f>
        <v>23679.127</v>
      </c>
      <c r="L334" s="2267">
        <f>L335+L370+L390+L418</f>
        <v>25004.997</v>
      </c>
      <c r="M334" s="2489">
        <v>51177.6</v>
      </c>
      <c r="N334" s="833"/>
    </row>
    <row r="335" spans="1:14" ht="18" customHeight="1">
      <c r="A335" s="1500" t="s">
        <v>966</v>
      </c>
      <c r="B335" s="107">
        <v>968</v>
      </c>
      <c r="C335" s="107">
        <v>503</v>
      </c>
      <c r="D335" s="107" t="s">
        <v>397</v>
      </c>
      <c r="E335" s="107"/>
      <c r="F335" s="305"/>
      <c r="G335" s="305"/>
      <c r="H335" s="2268">
        <f>H336+H346+H351+H362</f>
        <v>37190.877</v>
      </c>
      <c r="I335" s="2268">
        <f>I336+I346+I351+I362</f>
        <v>174.712</v>
      </c>
      <c r="J335" s="2268">
        <f>J336+J346+J351+J362</f>
        <v>663.4749999999988</v>
      </c>
      <c r="K335" s="2268">
        <f>K336+K346+K351+K362</f>
        <v>20561.163</v>
      </c>
      <c r="L335" s="2268">
        <f>L336+L346+L351+L362</f>
        <v>15791.527</v>
      </c>
      <c r="M335" s="2489"/>
      <c r="N335" s="833"/>
    </row>
    <row r="336" spans="1:14" ht="25.5" customHeight="1">
      <c r="A336" s="313" t="s">
        <v>1032</v>
      </c>
      <c r="B336" s="100">
        <v>968</v>
      </c>
      <c r="C336" s="100">
        <v>503</v>
      </c>
      <c r="D336" s="100" t="s">
        <v>399</v>
      </c>
      <c r="E336" s="100"/>
      <c r="F336" s="312"/>
      <c r="G336" s="312"/>
      <c r="H336" s="639">
        <f>SUM(I336:L336)</f>
        <v>32868.256</v>
      </c>
      <c r="I336" s="639">
        <f>I337+I342</f>
        <v>84.71199999999999</v>
      </c>
      <c r="J336" s="639">
        <f>J337+J342</f>
        <v>551.8749999999987</v>
      </c>
      <c r="K336" s="639">
        <f>K337+K342</f>
        <v>18906.491</v>
      </c>
      <c r="L336" s="639">
        <f>L337+L342</f>
        <v>13325.178</v>
      </c>
      <c r="M336" s="2489">
        <v>32868.3</v>
      </c>
      <c r="N336" s="833"/>
    </row>
    <row r="337" spans="1:14" ht="13.5" customHeight="1">
      <c r="A337" s="310" t="s">
        <v>1158</v>
      </c>
      <c r="B337" s="1550">
        <v>968</v>
      </c>
      <c r="C337" s="1550">
        <v>503</v>
      </c>
      <c r="D337" s="1550" t="s">
        <v>399</v>
      </c>
      <c r="E337" s="1550">
        <v>500</v>
      </c>
      <c r="F337" s="1551">
        <v>200</v>
      </c>
      <c r="G337" s="312"/>
      <c r="H337" s="639">
        <f>SUM(I337:L337)</f>
        <v>32325.856</v>
      </c>
      <c r="I337" s="639">
        <f aca="true" t="shared" si="47" ref="I337:L338">I338</f>
        <v>84.71199999999999</v>
      </c>
      <c r="J337" s="639">
        <f t="shared" si="47"/>
        <v>9.474999999998772</v>
      </c>
      <c r="K337" s="639">
        <f t="shared" si="47"/>
        <v>18906.491</v>
      </c>
      <c r="L337" s="639">
        <f t="shared" si="47"/>
        <v>13325.178</v>
      </c>
      <c r="M337" s="2489"/>
      <c r="N337" s="833"/>
    </row>
    <row r="338" spans="1:14" ht="15" customHeight="1">
      <c r="A338" s="1078" t="s">
        <v>1002</v>
      </c>
      <c r="B338" s="1085">
        <v>968</v>
      </c>
      <c r="C338" s="1085">
        <v>503</v>
      </c>
      <c r="D338" s="1085" t="s">
        <v>399</v>
      </c>
      <c r="E338" s="1085">
        <v>500</v>
      </c>
      <c r="F338" s="1079">
        <v>244</v>
      </c>
      <c r="G338" s="1079"/>
      <c r="H338" s="1086">
        <f>H339</f>
        <v>32325.856</v>
      </c>
      <c r="I338" s="1086">
        <f t="shared" si="47"/>
        <v>84.71199999999999</v>
      </c>
      <c r="J338" s="2254">
        <f t="shared" si="47"/>
        <v>9.474999999998772</v>
      </c>
      <c r="K338" s="1086">
        <f t="shared" si="47"/>
        <v>18906.491</v>
      </c>
      <c r="L338" s="1086">
        <f t="shared" si="47"/>
        <v>13325.178</v>
      </c>
      <c r="M338" s="2489"/>
      <c r="N338" s="833"/>
    </row>
    <row r="339" spans="1:26" ht="12.75">
      <c r="A339" s="288" t="s">
        <v>326</v>
      </c>
      <c r="B339" s="97">
        <v>968</v>
      </c>
      <c r="C339" s="97">
        <v>503</v>
      </c>
      <c r="D339" s="97" t="s">
        <v>399</v>
      </c>
      <c r="E339" s="97">
        <v>500</v>
      </c>
      <c r="F339" s="302">
        <v>244</v>
      </c>
      <c r="G339" s="302">
        <v>200</v>
      </c>
      <c r="H339" s="1534">
        <f>SUM(I339:L339)</f>
        <v>32325.856</v>
      </c>
      <c r="I339" s="1534">
        <f>SUM(I340:I341)</f>
        <v>84.71199999999999</v>
      </c>
      <c r="J339" s="1534">
        <f>SUM(J340:J341)</f>
        <v>9.474999999998772</v>
      </c>
      <c r="K339" s="1534">
        <f>SUM(K340:K341)</f>
        <v>18906.491</v>
      </c>
      <c r="L339" s="1534">
        <f>SUM(L340:L341)</f>
        <v>13325.178</v>
      </c>
      <c r="M339" s="2489"/>
      <c r="N339" s="833"/>
      <c r="O339" s="2464"/>
      <c r="P339" s="2465"/>
      <c r="Q339" s="2465"/>
      <c r="R339" s="2465"/>
      <c r="S339" s="2465"/>
      <c r="T339" s="2465"/>
      <c r="U339" s="2466"/>
      <c r="V339" s="2467"/>
      <c r="W339" s="2467"/>
      <c r="X339" s="2467"/>
      <c r="Y339" s="2467"/>
      <c r="Z339" s="2467"/>
    </row>
    <row r="340" spans="1:26" ht="12.75" customHeight="1" hidden="1">
      <c r="A340" s="291" t="s">
        <v>328</v>
      </c>
      <c r="B340" s="97">
        <v>968</v>
      </c>
      <c r="C340" s="298">
        <v>503</v>
      </c>
      <c r="D340" s="298" t="s">
        <v>399</v>
      </c>
      <c r="E340" s="298">
        <v>500</v>
      </c>
      <c r="F340" s="304">
        <v>244</v>
      </c>
      <c r="G340" s="304">
        <v>225</v>
      </c>
      <c r="H340" s="1532">
        <f>SUM(I340:L340)</f>
        <v>0</v>
      </c>
      <c r="I340" s="1532">
        <v>0</v>
      </c>
      <c r="J340" s="2255">
        <v>0</v>
      </c>
      <c r="K340" s="1532">
        <v>0</v>
      </c>
      <c r="L340" s="1532">
        <v>0</v>
      </c>
      <c r="M340" s="2489"/>
      <c r="N340" s="833"/>
      <c r="O340" s="2468"/>
      <c r="P340" s="2469"/>
      <c r="Q340" s="2469"/>
      <c r="R340" s="2469"/>
      <c r="S340" s="2469"/>
      <c r="T340" s="2469"/>
      <c r="U340" s="2469"/>
      <c r="V340" s="2470"/>
      <c r="W340" s="2470"/>
      <c r="X340" s="2470"/>
      <c r="Y340" s="2470"/>
      <c r="Z340" s="2470"/>
    </row>
    <row r="341" spans="1:26" ht="16.5" customHeight="1">
      <c r="A341" s="291" t="s">
        <v>329</v>
      </c>
      <c r="B341" s="298">
        <v>968</v>
      </c>
      <c r="C341" s="298">
        <v>503</v>
      </c>
      <c r="D341" s="298" t="s">
        <v>399</v>
      </c>
      <c r="E341" s="298">
        <v>500</v>
      </c>
      <c r="F341" s="304">
        <v>244</v>
      </c>
      <c r="G341" s="304">
        <v>226</v>
      </c>
      <c r="H341" s="1532">
        <f>SUM(I341:L341)</f>
        <v>32325.856</v>
      </c>
      <c r="I341" s="1532">
        <f>0+125.232-40.52</f>
        <v>84.71199999999999</v>
      </c>
      <c r="J341" s="2255">
        <f>20000-17974.649+43.918+40.52-177.853-1922.461</f>
        <v>9.474999999998772</v>
      </c>
      <c r="K341" s="1532">
        <f>12084.176+18199.196-119.15-29.398+2080.061+28.434+23.985-13360.813</f>
        <v>18906.491</v>
      </c>
      <c r="L341" s="1532">
        <f>13360.813-35.635</f>
        <v>13325.178</v>
      </c>
      <c r="M341" s="2489">
        <v>32325.9</v>
      </c>
      <c r="N341" s="833"/>
      <c r="O341" s="804"/>
      <c r="P341" s="801"/>
      <c r="Q341" s="801"/>
      <c r="R341" s="801"/>
      <c r="S341" s="801"/>
      <c r="T341" s="801"/>
      <c r="U341" s="801"/>
      <c r="V341" s="2471"/>
      <c r="W341" s="2471"/>
      <c r="X341" s="2471"/>
      <c r="Y341" s="2471"/>
      <c r="Z341" s="2471"/>
    </row>
    <row r="342" spans="1:14" ht="12.75">
      <c r="A342" s="310" t="s">
        <v>1161</v>
      </c>
      <c r="B342" s="648">
        <v>968</v>
      </c>
      <c r="C342" s="648">
        <v>503</v>
      </c>
      <c r="D342" s="1550" t="s">
        <v>399</v>
      </c>
      <c r="E342" s="648">
        <v>500</v>
      </c>
      <c r="F342" s="1748">
        <v>800</v>
      </c>
      <c r="G342" s="1748"/>
      <c r="H342" s="639">
        <f>H343</f>
        <v>542.4</v>
      </c>
      <c r="I342" s="1749">
        <f>I343</f>
        <v>0</v>
      </c>
      <c r="J342" s="1749">
        <f>J343</f>
        <v>542.4</v>
      </c>
      <c r="K342" s="1749">
        <f>K343</f>
        <v>0</v>
      </c>
      <c r="L342" s="1749">
        <f>L343</f>
        <v>0</v>
      </c>
      <c r="M342" s="2489"/>
      <c r="N342" s="833"/>
    </row>
    <row r="343" spans="1:14" ht="12.75">
      <c r="A343" s="1078" t="s">
        <v>1021</v>
      </c>
      <c r="B343" s="1085">
        <v>968</v>
      </c>
      <c r="C343" s="1085">
        <v>503</v>
      </c>
      <c r="D343" s="1085" t="s">
        <v>399</v>
      </c>
      <c r="E343" s="1085">
        <v>500</v>
      </c>
      <c r="F343" s="1079">
        <v>852</v>
      </c>
      <c r="G343" s="1755"/>
      <c r="H343" s="1086">
        <f aca="true" t="shared" si="48" ref="H343:L344">H344</f>
        <v>542.4</v>
      </c>
      <c r="I343" s="1086">
        <f>I344</f>
        <v>0</v>
      </c>
      <c r="J343" s="1086">
        <f>J344</f>
        <v>542.4</v>
      </c>
      <c r="K343" s="1086">
        <f>K344</f>
        <v>0</v>
      </c>
      <c r="L343" s="1086">
        <f>L344</f>
        <v>0</v>
      </c>
      <c r="M343" s="2489"/>
      <c r="N343" s="833"/>
    </row>
    <row r="344" spans="1:14" ht="12.75">
      <c r="A344" s="288" t="s">
        <v>326</v>
      </c>
      <c r="B344" s="97">
        <v>968</v>
      </c>
      <c r="C344" s="97">
        <v>503</v>
      </c>
      <c r="D344" s="97" t="s">
        <v>399</v>
      </c>
      <c r="E344" s="97">
        <v>500</v>
      </c>
      <c r="F344" s="302">
        <v>852</v>
      </c>
      <c r="G344" s="302">
        <v>200</v>
      </c>
      <c r="H344" s="2183">
        <f t="shared" si="48"/>
        <v>542.4</v>
      </c>
      <c r="I344" s="2183">
        <f>I345</f>
        <v>0</v>
      </c>
      <c r="J344" s="2183">
        <f t="shared" si="48"/>
        <v>542.4</v>
      </c>
      <c r="K344" s="2183">
        <f t="shared" si="48"/>
        <v>0</v>
      </c>
      <c r="L344" s="2183">
        <f t="shared" si="48"/>
        <v>0</v>
      </c>
      <c r="M344" s="2489"/>
      <c r="N344" s="833"/>
    </row>
    <row r="345" spans="1:14" ht="14.25" customHeight="1">
      <c r="A345" s="290" t="s">
        <v>224</v>
      </c>
      <c r="B345" s="297">
        <v>968</v>
      </c>
      <c r="C345" s="297">
        <v>503</v>
      </c>
      <c r="D345" s="298" t="s">
        <v>399</v>
      </c>
      <c r="E345" s="297">
        <v>500</v>
      </c>
      <c r="F345" s="303">
        <v>852</v>
      </c>
      <c r="G345" s="303">
        <v>290</v>
      </c>
      <c r="H345" s="2184">
        <f>SUM(I345:L345)</f>
        <v>542.4</v>
      </c>
      <c r="I345" s="2185">
        <f>10-10</f>
        <v>0</v>
      </c>
      <c r="J345" s="2185">
        <f>700-157.6</f>
        <v>542.4</v>
      </c>
      <c r="K345" s="2184">
        <v>0</v>
      </c>
      <c r="L345" s="2184">
        <v>0</v>
      </c>
      <c r="M345" s="2489">
        <v>542.4</v>
      </c>
      <c r="N345" s="833"/>
    </row>
    <row r="346" spans="1:14" ht="17.25" customHeight="1">
      <c r="A346" s="313" t="s">
        <v>967</v>
      </c>
      <c r="B346" s="100">
        <v>968</v>
      </c>
      <c r="C346" s="100">
        <v>503</v>
      </c>
      <c r="D346" s="298" t="s">
        <v>399</v>
      </c>
      <c r="E346" s="100"/>
      <c r="F346" s="312"/>
      <c r="G346" s="312"/>
      <c r="H346" s="639">
        <f>H348</f>
        <v>369.69800000000004</v>
      </c>
      <c r="I346" s="639">
        <f aca="true" t="shared" si="49" ref="I346:L347">I347</f>
        <v>0</v>
      </c>
      <c r="J346" s="639">
        <f t="shared" si="49"/>
        <v>0</v>
      </c>
      <c r="K346" s="639">
        <f t="shared" si="49"/>
        <v>0</v>
      </c>
      <c r="L346" s="639">
        <f t="shared" si="49"/>
        <v>369.69800000000004</v>
      </c>
      <c r="M346" s="2489"/>
      <c r="N346" s="833"/>
    </row>
    <row r="347" spans="1:14" ht="17.25" customHeight="1">
      <c r="A347" s="310" t="s">
        <v>1158</v>
      </c>
      <c r="B347" s="1550">
        <v>968</v>
      </c>
      <c r="C347" s="1550">
        <v>503</v>
      </c>
      <c r="D347" s="1550" t="s">
        <v>400</v>
      </c>
      <c r="E347" s="1550">
        <v>500</v>
      </c>
      <c r="F347" s="1551">
        <v>200</v>
      </c>
      <c r="G347" s="312"/>
      <c r="H347" s="639">
        <f>SUM(I347:L347)</f>
        <v>369.69800000000004</v>
      </c>
      <c r="I347" s="639">
        <f t="shared" si="49"/>
        <v>0</v>
      </c>
      <c r="J347" s="639">
        <f t="shared" si="49"/>
        <v>0</v>
      </c>
      <c r="K347" s="639">
        <f t="shared" si="49"/>
        <v>0</v>
      </c>
      <c r="L347" s="639">
        <f t="shared" si="49"/>
        <v>369.69800000000004</v>
      </c>
      <c r="M347" s="2489"/>
      <c r="N347" s="833"/>
    </row>
    <row r="348" spans="1:14" ht="12.75">
      <c r="A348" s="1078" t="s">
        <v>1002</v>
      </c>
      <c r="B348" s="1085">
        <v>968</v>
      </c>
      <c r="C348" s="1085">
        <v>503</v>
      </c>
      <c r="D348" s="1085" t="s">
        <v>400</v>
      </c>
      <c r="E348" s="1085">
        <v>500</v>
      </c>
      <c r="F348" s="1079">
        <v>244</v>
      </c>
      <c r="G348" s="1079"/>
      <c r="H348" s="1086">
        <f>SUM(I348:L348)</f>
        <v>369.69800000000004</v>
      </c>
      <c r="I348" s="1086">
        <f aca="true" t="shared" si="50" ref="I348:L349">I349</f>
        <v>0</v>
      </c>
      <c r="J348" s="2254">
        <f>J349</f>
        <v>0</v>
      </c>
      <c r="K348" s="1086">
        <f>K349</f>
        <v>0</v>
      </c>
      <c r="L348" s="1086">
        <f t="shared" si="50"/>
        <v>369.69800000000004</v>
      </c>
      <c r="M348" s="2489"/>
      <c r="N348" s="833"/>
    </row>
    <row r="349" spans="1:14" ht="12.75">
      <c r="A349" s="288" t="s">
        <v>326</v>
      </c>
      <c r="B349" s="97">
        <v>968</v>
      </c>
      <c r="C349" s="97">
        <v>503</v>
      </c>
      <c r="D349" s="97" t="s">
        <v>400</v>
      </c>
      <c r="E349" s="97">
        <v>500</v>
      </c>
      <c r="F349" s="302">
        <v>244</v>
      </c>
      <c r="G349" s="302">
        <v>200</v>
      </c>
      <c r="H349" s="1534">
        <f>SUM(I349:L349)</f>
        <v>369.69800000000004</v>
      </c>
      <c r="I349" s="1534">
        <f t="shared" si="50"/>
        <v>0</v>
      </c>
      <c r="J349" s="2256">
        <f>J350</f>
        <v>0</v>
      </c>
      <c r="K349" s="1534">
        <f>K350</f>
        <v>0</v>
      </c>
      <c r="L349" s="1534">
        <f t="shared" si="50"/>
        <v>369.69800000000004</v>
      </c>
      <c r="M349" s="2489"/>
      <c r="N349" s="833"/>
    </row>
    <row r="350" spans="1:14" ht="15" customHeight="1">
      <c r="A350" s="291" t="s">
        <v>329</v>
      </c>
      <c r="B350" s="298">
        <v>968</v>
      </c>
      <c r="C350" s="298">
        <v>503</v>
      </c>
      <c r="D350" s="298" t="s">
        <v>400</v>
      </c>
      <c r="E350" s="298">
        <v>500</v>
      </c>
      <c r="F350" s="304">
        <v>244</v>
      </c>
      <c r="G350" s="304">
        <v>226</v>
      </c>
      <c r="H350" s="1532">
        <f>SUM(I350:L350)</f>
        <v>369.69800000000004</v>
      </c>
      <c r="I350" s="1532">
        <v>0</v>
      </c>
      <c r="J350" s="2255">
        <f>777.139-777.139</f>
        <v>0</v>
      </c>
      <c r="K350" s="1532">
        <f>473.524-0.467-4.52-6.069-462.468</f>
        <v>0</v>
      </c>
      <c r="L350" s="1532">
        <f>462.468-92.77</f>
        <v>369.69800000000004</v>
      </c>
      <c r="M350" s="2489">
        <v>369.7</v>
      </c>
      <c r="N350" s="833"/>
    </row>
    <row r="351" spans="1:14" ht="17.25" customHeight="1">
      <c r="A351" s="2482" t="s">
        <v>29</v>
      </c>
      <c r="B351" s="2483">
        <v>968</v>
      </c>
      <c r="C351" s="2483">
        <v>503</v>
      </c>
      <c r="D351" s="2483" t="s">
        <v>401</v>
      </c>
      <c r="E351" s="2483"/>
      <c r="F351" s="2484"/>
      <c r="G351" s="2484"/>
      <c r="H351" s="2485">
        <f>H353+H357</f>
        <v>2318.251</v>
      </c>
      <c r="I351" s="2485">
        <f aca="true" t="shared" si="51" ref="I351:L352">I352</f>
        <v>0</v>
      </c>
      <c r="J351" s="2485">
        <f t="shared" si="51"/>
        <v>81.6</v>
      </c>
      <c r="K351" s="2485">
        <f t="shared" si="51"/>
        <v>180.00000000000023</v>
      </c>
      <c r="L351" s="2485">
        <f t="shared" si="51"/>
        <v>2056.651</v>
      </c>
      <c r="M351" s="2489">
        <v>2318.2</v>
      </c>
      <c r="N351" s="833"/>
    </row>
    <row r="352" spans="1:14" ht="17.25" customHeight="1">
      <c r="A352" s="310" t="s">
        <v>1158</v>
      </c>
      <c r="B352" s="1550">
        <v>968</v>
      </c>
      <c r="C352" s="1550">
        <v>503</v>
      </c>
      <c r="D352" s="1550" t="s">
        <v>401</v>
      </c>
      <c r="E352" s="1550">
        <v>500</v>
      </c>
      <c r="F352" s="1551">
        <v>200</v>
      </c>
      <c r="G352" s="312"/>
      <c r="H352" s="639">
        <f>SUM(I352:L352)</f>
        <v>2318.251</v>
      </c>
      <c r="I352" s="639">
        <f t="shared" si="51"/>
        <v>0</v>
      </c>
      <c r="J352" s="639">
        <f t="shared" si="51"/>
        <v>81.6</v>
      </c>
      <c r="K352" s="639">
        <f t="shared" si="51"/>
        <v>180.00000000000023</v>
      </c>
      <c r="L352" s="639">
        <f t="shared" si="51"/>
        <v>2056.651</v>
      </c>
      <c r="M352" s="2489"/>
      <c r="N352" s="833"/>
    </row>
    <row r="353" spans="1:14" ht="12.75">
      <c r="A353" s="1078" t="s">
        <v>1002</v>
      </c>
      <c r="B353" s="1085">
        <v>968</v>
      </c>
      <c r="C353" s="1085">
        <v>503</v>
      </c>
      <c r="D353" s="1085" t="s">
        <v>401</v>
      </c>
      <c r="E353" s="1085">
        <v>500</v>
      </c>
      <c r="F353" s="1079">
        <v>244</v>
      </c>
      <c r="G353" s="1079"/>
      <c r="H353" s="1086">
        <f>SUM(I353:L353)</f>
        <v>2318.251</v>
      </c>
      <c r="I353" s="1086">
        <f>I354+I360</f>
        <v>0</v>
      </c>
      <c r="J353" s="1086">
        <f>J354+J360</f>
        <v>81.6</v>
      </c>
      <c r="K353" s="1086">
        <f>K354+K360</f>
        <v>180.00000000000023</v>
      </c>
      <c r="L353" s="1086">
        <f>L354+L360</f>
        <v>2056.651</v>
      </c>
      <c r="M353" s="2489"/>
      <c r="N353" s="833"/>
    </row>
    <row r="354" spans="1:14" ht="12.75">
      <c r="A354" s="288" t="s">
        <v>326</v>
      </c>
      <c r="B354" s="97">
        <v>968</v>
      </c>
      <c r="C354" s="97">
        <v>503</v>
      </c>
      <c r="D354" s="97" t="s">
        <v>401</v>
      </c>
      <c r="E354" s="97">
        <v>500</v>
      </c>
      <c r="F354" s="302">
        <v>244</v>
      </c>
      <c r="G354" s="302">
        <v>200</v>
      </c>
      <c r="H354" s="1534">
        <f>SUM(I354:L354)</f>
        <v>771.467</v>
      </c>
      <c r="I354" s="1534">
        <f>SUM(I355:I356)</f>
        <v>0</v>
      </c>
      <c r="J354" s="1534">
        <f>SUM(J355:J356)</f>
        <v>0</v>
      </c>
      <c r="K354" s="1534">
        <f>SUM(K355:K356)</f>
        <v>0</v>
      </c>
      <c r="L354" s="1534">
        <f>SUM(L355:L356)</f>
        <v>771.467</v>
      </c>
      <c r="M354" s="2489"/>
      <c r="N354" s="833"/>
    </row>
    <row r="355" spans="1:14" ht="12.75">
      <c r="A355" s="291" t="s">
        <v>328</v>
      </c>
      <c r="B355" s="298">
        <v>968</v>
      </c>
      <c r="C355" s="298">
        <v>503</v>
      </c>
      <c r="D355" s="298" t="s">
        <v>401</v>
      </c>
      <c r="E355" s="298">
        <v>500</v>
      </c>
      <c r="F355" s="304">
        <v>244</v>
      </c>
      <c r="G355" s="304">
        <v>225</v>
      </c>
      <c r="H355" s="1532">
        <f>SUM(I355:L355)</f>
        <v>751.52</v>
      </c>
      <c r="I355" s="1532">
        <v>0</v>
      </c>
      <c r="J355" s="2255">
        <f>500-500</f>
        <v>0</v>
      </c>
      <c r="K355" s="1532">
        <f>1000-248.48-751.52</f>
        <v>0</v>
      </c>
      <c r="L355" s="1532">
        <f>751.52</f>
        <v>751.52</v>
      </c>
      <c r="M355" s="2489">
        <v>751.5</v>
      </c>
      <c r="N355" s="833"/>
    </row>
    <row r="356" spans="1:14" ht="12" customHeight="1">
      <c r="A356" s="291" t="s">
        <v>329</v>
      </c>
      <c r="B356" s="298">
        <v>968</v>
      </c>
      <c r="C356" s="298">
        <v>503</v>
      </c>
      <c r="D356" s="298" t="s">
        <v>401</v>
      </c>
      <c r="E356" s="298">
        <v>500</v>
      </c>
      <c r="F356" s="304">
        <v>244</v>
      </c>
      <c r="G356" s="304">
        <v>226</v>
      </c>
      <c r="H356" s="1532">
        <f>SUM(I356:L356)</f>
        <v>19.947</v>
      </c>
      <c r="I356" s="1532">
        <v>0</v>
      </c>
      <c r="J356" s="2255">
        <v>0</v>
      </c>
      <c r="K356" s="1532">
        <f>42.988-5.803-17.238-19.947</f>
        <v>0</v>
      </c>
      <c r="L356" s="1532">
        <f>19.947</f>
        <v>19.947</v>
      </c>
      <c r="M356" s="2489">
        <v>19.9</v>
      </c>
      <c r="N356" s="833"/>
    </row>
    <row r="357" spans="1:14" ht="24" hidden="1">
      <c r="A357" s="653" t="s">
        <v>733</v>
      </c>
      <c r="B357" s="97">
        <v>968</v>
      </c>
      <c r="C357" s="97">
        <v>503</v>
      </c>
      <c r="D357" s="97" t="s">
        <v>401</v>
      </c>
      <c r="E357" s="97">
        <v>599</v>
      </c>
      <c r="F357" s="302"/>
      <c r="G357" s="302"/>
      <c r="H357" s="2201">
        <f aca="true" t="shared" si="52" ref="H357:L358">H358</f>
        <v>0</v>
      </c>
      <c r="I357" s="2201">
        <f t="shared" si="52"/>
        <v>0</v>
      </c>
      <c r="J357" s="2225">
        <f t="shared" si="52"/>
        <v>0</v>
      </c>
      <c r="K357" s="2201">
        <f t="shared" si="52"/>
        <v>0</v>
      </c>
      <c r="L357" s="2201">
        <f t="shared" si="52"/>
        <v>0</v>
      </c>
      <c r="M357" s="2489"/>
      <c r="N357" s="833"/>
    </row>
    <row r="358" spans="1:14" ht="12.75" hidden="1">
      <c r="A358" s="288" t="s">
        <v>326</v>
      </c>
      <c r="B358" s="97">
        <v>968</v>
      </c>
      <c r="C358" s="97">
        <v>503</v>
      </c>
      <c r="D358" s="97" t="s">
        <v>401</v>
      </c>
      <c r="E358" s="97">
        <v>599</v>
      </c>
      <c r="F358" s="302"/>
      <c r="G358" s="302">
        <v>200</v>
      </c>
      <c r="H358" s="2201">
        <f t="shared" si="52"/>
        <v>0</v>
      </c>
      <c r="I358" s="2201">
        <f t="shared" si="52"/>
        <v>0</v>
      </c>
      <c r="J358" s="2225">
        <f t="shared" si="52"/>
        <v>0</v>
      </c>
      <c r="K358" s="2201">
        <f t="shared" si="52"/>
        <v>0</v>
      </c>
      <c r="L358" s="2201">
        <f t="shared" si="52"/>
        <v>0</v>
      </c>
      <c r="M358" s="2489"/>
      <c r="N358" s="833"/>
    </row>
    <row r="359" spans="1:14" ht="12.75" hidden="1">
      <c r="A359" s="291" t="s">
        <v>329</v>
      </c>
      <c r="B359" s="298">
        <v>968</v>
      </c>
      <c r="C359" s="298">
        <v>503</v>
      </c>
      <c r="D359" s="298" t="s">
        <v>401</v>
      </c>
      <c r="E359" s="298">
        <v>599</v>
      </c>
      <c r="F359" s="304"/>
      <c r="G359" s="304">
        <v>226</v>
      </c>
      <c r="H359" s="2203">
        <f aca="true" t="shared" si="53" ref="H359:H364">SUM(I359:L359)</f>
        <v>0</v>
      </c>
      <c r="I359" s="2203">
        <v>0</v>
      </c>
      <c r="J359" s="2224">
        <v>0</v>
      </c>
      <c r="K359" s="2203">
        <v>0</v>
      </c>
      <c r="L359" s="2203">
        <v>0</v>
      </c>
      <c r="M359" s="2489"/>
      <c r="N359" s="833"/>
    </row>
    <row r="360" spans="1:14" ht="12.75">
      <c r="A360" s="288" t="s">
        <v>330</v>
      </c>
      <c r="B360" s="97">
        <v>968</v>
      </c>
      <c r="C360" s="97">
        <v>503</v>
      </c>
      <c r="D360" s="97" t="s">
        <v>401</v>
      </c>
      <c r="E360" s="97">
        <v>500</v>
      </c>
      <c r="F360" s="302">
        <v>244</v>
      </c>
      <c r="G360" s="577">
        <v>300</v>
      </c>
      <c r="H360" s="1532">
        <f t="shared" si="53"/>
        <v>1546.784</v>
      </c>
      <c r="I360" s="1532">
        <f>I361</f>
        <v>0</v>
      </c>
      <c r="J360" s="2255">
        <f>J361</f>
        <v>81.6</v>
      </c>
      <c r="K360" s="1532">
        <f>K361</f>
        <v>180.00000000000023</v>
      </c>
      <c r="L360" s="1532">
        <f>L361</f>
        <v>1285.184</v>
      </c>
      <c r="M360" s="2489"/>
      <c r="N360" s="833"/>
    </row>
    <row r="361" spans="1:14" ht="12.75">
      <c r="A361" s="291" t="s">
        <v>225</v>
      </c>
      <c r="B361" s="298">
        <v>968</v>
      </c>
      <c r="C361" s="298">
        <v>503</v>
      </c>
      <c r="D361" s="298" t="s">
        <v>401</v>
      </c>
      <c r="E361" s="298">
        <v>500</v>
      </c>
      <c r="F361" s="304">
        <v>244</v>
      </c>
      <c r="G361" s="304">
        <v>310</v>
      </c>
      <c r="H361" s="1532">
        <f t="shared" si="53"/>
        <v>1546.784</v>
      </c>
      <c r="I361" s="1532">
        <v>0</v>
      </c>
      <c r="J361" s="2255">
        <f>100-18.4</f>
        <v>81.6</v>
      </c>
      <c r="K361" s="1532">
        <f>1786.747-307.728-7.754-6.081-1285.184</f>
        <v>180.00000000000023</v>
      </c>
      <c r="L361" s="1532">
        <f>1285.184</f>
        <v>1285.184</v>
      </c>
      <c r="M361" s="2489">
        <v>1546.8</v>
      </c>
      <c r="N361" s="833"/>
    </row>
    <row r="362" spans="1:14" ht="36" customHeight="1">
      <c r="A362" s="2482" t="s">
        <v>1271</v>
      </c>
      <c r="B362" s="2483">
        <v>968</v>
      </c>
      <c r="C362" s="2483">
        <v>503</v>
      </c>
      <c r="D362" s="2483" t="s">
        <v>403</v>
      </c>
      <c r="E362" s="2483"/>
      <c r="F362" s="2484"/>
      <c r="G362" s="2484"/>
      <c r="H362" s="2485">
        <f t="shared" si="53"/>
        <v>1634.6719999999998</v>
      </c>
      <c r="I362" s="2485">
        <f aca="true" t="shared" si="54" ref="I362:L363">I363</f>
        <v>90</v>
      </c>
      <c r="J362" s="2485">
        <f t="shared" si="54"/>
        <v>30</v>
      </c>
      <c r="K362" s="2485">
        <f t="shared" si="54"/>
        <v>1474.6719999999998</v>
      </c>
      <c r="L362" s="2485">
        <f t="shared" si="54"/>
        <v>40</v>
      </c>
      <c r="M362" s="2489">
        <v>1634.7</v>
      </c>
      <c r="N362" s="833"/>
    </row>
    <row r="363" spans="1:14" ht="16.5" customHeight="1">
      <c r="A363" s="310" t="s">
        <v>1158</v>
      </c>
      <c r="B363" s="1550">
        <v>968</v>
      </c>
      <c r="C363" s="1550">
        <v>503</v>
      </c>
      <c r="D363" s="1550" t="s">
        <v>403</v>
      </c>
      <c r="E363" s="1550">
        <v>500</v>
      </c>
      <c r="F363" s="1551">
        <v>200</v>
      </c>
      <c r="G363" s="312"/>
      <c r="H363" s="639">
        <f t="shared" si="53"/>
        <v>1634.6719999999998</v>
      </c>
      <c r="I363" s="639">
        <f t="shared" si="54"/>
        <v>90</v>
      </c>
      <c r="J363" s="639">
        <f t="shared" si="54"/>
        <v>30</v>
      </c>
      <c r="K363" s="639">
        <f t="shared" si="54"/>
        <v>1474.6719999999998</v>
      </c>
      <c r="L363" s="639">
        <f t="shared" si="54"/>
        <v>40</v>
      </c>
      <c r="M363" s="2489"/>
      <c r="N363" s="833"/>
    </row>
    <row r="364" spans="1:14" ht="12.75">
      <c r="A364" s="1078" t="s">
        <v>1002</v>
      </c>
      <c r="B364" s="1085">
        <v>968</v>
      </c>
      <c r="C364" s="1085">
        <v>503</v>
      </c>
      <c r="D364" s="1085" t="s">
        <v>403</v>
      </c>
      <c r="E364" s="1085">
        <v>500</v>
      </c>
      <c r="F364" s="1079">
        <v>244</v>
      </c>
      <c r="G364" s="1079"/>
      <c r="H364" s="1086">
        <f t="shared" si="53"/>
        <v>1634.6719999999998</v>
      </c>
      <c r="I364" s="1086">
        <f>I365+I368</f>
        <v>90</v>
      </c>
      <c r="J364" s="1086">
        <f>J365+J368</f>
        <v>30</v>
      </c>
      <c r="K364" s="1086">
        <f>K365+K368</f>
        <v>1474.6719999999998</v>
      </c>
      <c r="L364" s="1086">
        <f>L365+L368</f>
        <v>40</v>
      </c>
      <c r="M364" s="2489"/>
      <c r="N364" s="833"/>
    </row>
    <row r="365" spans="1:14" ht="12.75">
      <c r="A365" s="288" t="s">
        <v>326</v>
      </c>
      <c r="B365" s="97">
        <v>968</v>
      </c>
      <c r="C365" s="97">
        <v>503</v>
      </c>
      <c r="D365" s="97" t="s">
        <v>403</v>
      </c>
      <c r="E365" s="97">
        <v>500</v>
      </c>
      <c r="F365" s="302">
        <v>244</v>
      </c>
      <c r="G365" s="302">
        <v>200</v>
      </c>
      <c r="H365" s="1534">
        <f>SUM(H366:H367)</f>
        <v>269.6</v>
      </c>
      <c r="I365" s="1534">
        <f>SUM(I366:I367)</f>
        <v>90</v>
      </c>
      <c r="J365" s="1534">
        <f>SUM(J366:J367)</f>
        <v>30</v>
      </c>
      <c r="K365" s="1534">
        <f>SUM(K366:K367)</f>
        <v>109.6</v>
      </c>
      <c r="L365" s="1534">
        <f>SUM(L366:L367)</f>
        <v>40</v>
      </c>
      <c r="M365" s="2489">
        <v>269.6</v>
      </c>
      <c r="N365" s="833"/>
    </row>
    <row r="366" spans="1:14" ht="12.75">
      <c r="A366" s="291" t="s">
        <v>328</v>
      </c>
      <c r="B366" s="298">
        <v>968</v>
      </c>
      <c r="C366" s="298">
        <v>503</v>
      </c>
      <c r="D366" s="298" t="s">
        <v>403</v>
      </c>
      <c r="E366" s="298">
        <v>500</v>
      </c>
      <c r="F366" s="304">
        <v>244</v>
      </c>
      <c r="G366" s="304">
        <v>225</v>
      </c>
      <c r="H366" s="1532">
        <f>SUM(I366:L366)</f>
        <v>149.6</v>
      </c>
      <c r="I366" s="1532">
        <f>60</f>
        <v>60</v>
      </c>
      <c r="J366" s="2255">
        <f>110-110</f>
        <v>0</v>
      </c>
      <c r="K366" s="1532">
        <f>110+110-130.4</f>
        <v>89.6</v>
      </c>
      <c r="L366" s="1532">
        <f>130.4-130.4</f>
        <v>0</v>
      </c>
      <c r="M366" s="2489">
        <v>149.6</v>
      </c>
      <c r="N366" s="833"/>
    </row>
    <row r="367" spans="1:14" ht="12.75">
      <c r="A367" s="291" t="s">
        <v>329</v>
      </c>
      <c r="B367" s="298">
        <v>968</v>
      </c>
      <c r="C367" s="298">
        <v>503</v>
      </c>
      <c r="D367" s="298" t="s">
        <v>403</v>
      </c>
      <c r="E367" s="298">
        <v>500</v>
      </c>
      <c r="F367" s="304">
        <v>244</v>
      </c>
      <c r="G367" s="304">
        <v>226</v>
      </c>
      <c r="H367" s="1532">
        <f>SUM(I367:L367)</f>
        <v>120</v>
      </c>
      <c r="I367" s="1532">
        <v>30</v>
      </c>
      <c r="J367" s="2255">
        <v>30</v>
      </c>
      <c r="K367" s="1532">
        <f>30-10</f>
        <v>20</v>
      </c>
      <c r="L367" s="1532">
        <f>30+10</f>
        <v>40</v>
      </c>
      <c r="M367" s="2489">
        <v>120</v>
      </c>
      <c r="N367" s="833"/>
    </row>
    <row r="368" spans="1:14" ht="17.25" customHeight="1">
      <c r="A368" s="288" t="s">
        <v>330</v>
      </c>
      <c r="B368" s="97">
        <v>968</v>
      </c>
      <c r="C368" s="97">
        <v>503</v>
      </c>
      <c r="D368" s="97" t="s">
        <v>403</v>
      </c>
      <c r="E368" s="97">
        <v>500</v>
      </c>
      <c r="F368" s="302">
        <v>244</v>
      </c>
      <c r="G368" s="577">
        <v>300</v>
      </c>
      <c r="H368" s="2257">
        <f>SUM(I368:L368)</f>
        <v>1365.072</v>
      </c>
      <c r="I368" s="2257">
        <f>I369</f>
        <v>0</v>
      </c>
      <c r="J368" s="2258">
        <f>J369</f>
        <v>0</v>
      </c>
      <c r="K368" s="2257">
        <f>K369</f>
        <v>1365.072</v>
      </c>
      <c r="L368" s="2257">
        <f>L369</f>
        <v>0</v>
      </c>
      <c r="M368" s="2489"/>
      <c r="N368" s="833"/>
    </row>
    <row r="369" spans="1:14" ht="15.75" customHeight="1">
      <c r="A369" s="291" t="s">
        <v>225</v>
      </c>
      <c r="B369" s="298">
        <v>968</v>
      </c>
      <c r="C369" s="298">
        <v>503</v>
      </c>
      <c r="D369" s="298" t="s">
        <v>403</v>
      </c>
      <c r="E369" s="298">
        <v>500</v>
      </c>
      <c r="F369" s="304">
        <v>244</v>
      </c>
      <c r="G369" s="304">
        <v>310</v>
      </c>
      <c r="H369" s="2259">
        <f>SUM(I369:L369)</f>
        <v>1365.072</v>
      </c>
      <c r="I369" s="2259">
        <v>0</v>
      </c>
      <c r="J369" s="2260">
        <v>0</v>
      </c>
      <c r="K369" s="2259">
        <f>273.738+1179.234-22.365-65.535</f>
        <v>1365.072</v>
      </c>
      <c r="L369" s="2259">
        <f>0+65.535-65.535</f>
        <v>0</v>
      </c>
      <c r="M369" s="2489">
        <v>1365.1</v>
      </c>
      <c r="N369" s="833"/>
    </row>
    <row r="370" spans="1:14" ht="25.5" customHeight="1">
      <c r="A370" s="1501" t="s">
        <v>955</v>
      </c>
      <c r="B370" s="107">
        <v>968</v>
      </c>
      <c r="C370" s="107">
        <v>503</v>
      </c>
      <c r="D370" s="107" t="s">
        <v>407</v>
      </c>
      <c r="E370" s="107"/>
      <c r="F370" s="305"/>
      <c r="G370" s="305"/>
      <c r="H370" s="650">
        <f>H371+H378+H382</f>
        <v>198.17000000000002</v>
      </c>
      <c r="I370" s="650">
        <f>I371+I378+I382</f>
        <v>0</v>
      </c>
      <c r="J370" s="650">
        <f>J371+J378+J382</f>
        <v>74.471</v>
      </c>
      <c r="K370" s="650">
        <f>K371+K378+K382</f>
        <v>123.699</v>
      </c>
      <c r="L370" s="650">
        <f>L371+L378+L382</f>
        <v>0</v>
      </c>
      <c r="M370" s="2489"/>
      <c r="N370" s="833"/>
    </row>
    <row r="371" spans="1:14" ht="15.75" customHeight="1" hidden="1">
      <c r="A371" s="313" t="s">
        <v>463</v>
      </c>
      <c r="B371" s="100">
        <v>968</v>
      </c>
      <c r="C371" s="100">
        <v>503</v>
      </c>
      <c r="D371" s="100" t="s">
        <v>464</v>
      </c>
      <c r="E371" s="100"/>
      <c r="F371" s="312"/>
      <c r="G371" s="312"/>
      <c r="H371" s="639">
        <f aca="true" t="shared" si="55" ref="H371:H377">SUM(I371:L371)</f>
        <v>0</v>
      </c>
      <c r="I371" s="639">
        <f aca="true" t="shared" si="56" ref="I371:L372">I372</f>
        <v>0</v>
      </c>
      <c r="J371" s="639">
        <f t="shared" si="56"/>
        <v>0</v>
      </c>
      <c r="K371" s="639">
        <f t="shared" si="56"/>
        <v>0</v>
      </c>
      <c r="L371" s="639">
        <f t="shared" si="56"/>
        <v>0</v>
      </c>
      <c r="M371" s="2489"/>
      <c r="N371" s="833"/>
    </row>
    <row r="372" spans="1:14" ht="15.75" customHeight="1" hidden="1">
      <c r="A372" s="310" t="s">
        <v>1158</v>
      </c>
      <c r="B372" s="1550">
        <v>968</v>
      </c>
      <c r="C372" s="1550">
        <v>503</v>
      </c>
      <c r="D372" s="1550" t="s">
        <v>464</v>
      </c>
      <c r="E372" s="1550">
        <v>500</v>
      </c>
      <c r="F372" s="1551">
        <v>200</v>
      </c>
      <c r="G372" s="312"/>
      <c r="H372" s="639">
        <f>SUM(I372:L372)</f>
        <v>0</v>
      </c>
      <c r="I372" s="639">
        <f t="shared" si="56"/>
        <v>0</v>
      </c>
      <c r="J372" s="639">
        <f t="shared" si="56"/>
        <v>0</v>
      </c>
      <c r="K372" s="639">
        <f t="shared" si="56"/>
        <v>0</v>
      </c>
      <c r="L372" s="639">
        <f t="shared" si="56"/>
        <v>0</v>
      </c>
      <c r="M372" s="2489"/>
      <c r="N372" s="833"/>
    </row>
    <row r="373" spans="1:14" ht="12.75" hidden="1">
      <c r="A373" s="1078" t="s">
        <v>1002</v>
      </c>
      <c r="B373" s="1085">
        <v>968</v>
      </c>
      <c r="C373" s="1085">
        <v>503</v>
      </c>
      <c r="D373" s="1085" t="s">
        <v>464</v>
      </c>
      <c r="E373" s="1085">
        <v>500</v>
      </c>
      <c r="F373" s="1079">
        <v>244</v>
      </c>
      <c r="G373" s="1079"/>
      <c r="H373" s="1086">
        <f t="shared" si="55"/>
        <v>0</v>
      </c>
      <c r="I373" s="1086">
        <f>I374+I376</f>
        <v>0</v>
      </c>
      <c r="J373" s="1086">
        <f>J374+J376</f>
        <v>0</v>
      </c>
      <c r="K373" s="1086">
        <f>K374+K376</f>
        <v>0</v>
      </c>
      <c r="L373" s="1086">
        <f>L374+L376</f>
        <v>0</v>
      </c>
      <c r="M373" s="2489"/>
      <c r="N373" s="833"/>
    </row>
    <row r="374" spans="1:14" ht="12.75" hidden="1">
      <c r="A374" s="288" t="s">
        <v>326</v>
      </c>
      <c r="B374" s="97">
        <v>968</v>
      </c>
      <c r="C374" s="97">
        <v>503</v>
      </c>
      <c r="D374" s="97" t="s">
        <v>464</v>
      </c>
      <c r="E374" s="97">
        <v>500</v>
      </c>
      <c r="F374" s="302">
        <v>244</v>
      </c>
      <c r="G374" s="302">
        <v>200</v>
      </c>
      <c r="H374" s="1534">
        <f t="shared" si="55"/>
        <v>0</v>
      </c>
      <c r="I374" s="1534">
        <f>I375</f>
        <v>0</v>
      </c>
      <c r="J374" s="2256">
        <f>J375</f>
        <v>0</v>
      </c>
      <c r="K374" s="1534">
        <f>K375</f>
        <v>0</v>
      </c>
      <c r="L374" s="1534">
        <f>L375</f>
        <v>0</v>
      </c>
      <c r="M374" s="2489"/>
      <c r="N374" s="833"/>
    </row>
    <row r="375" spans="1:14" ht="12.75" hidden="1">
      <c r="A375" s="291" t="s">
        <v>329</v>
      </c>
      <c r="B375" s="298">
        <v>968</v>
      </c>
      <c r="C375" s="298">
        <v>503</v>
      </c>
      <c r="D375" s="298" t="s">
        <v>464</v>
      </c>
      <c r="E375" s="298">
        <v>500</v>
      </c>
      <c r="F375" s="304">
        <v>244</v>
      </c>
      <c r="G375" s="304">
        <v>226</v>
      </c>
      <c r="H375" s="1532">
        <f t="shared" si="55"/>
        <v>0</v>
      </c>
      <c r="I375" s="1532">
        <v>0</v>
      </c>
      <c r="J375" s="2255">
        <f>5.4-5.4</f>
        <v>0</v>
      </c>
      <c r="K375" s="1532">
        <v>0</v>
      </c>
      <c r="L375" s="1532">
        <v>0</v>
      </c>
      <c r="M375" s="2489"/>
      <c r="N375" s="833"/>
    </row>
    <row r="376" spans="1:14" ht="12.75" hidden="1">
      <c r="A376" s="288" t="s">
        <v>330</v>
      </c>
      <c r="B376" s="97">
        <v>968</v>
      </c>
      <c r="C376" s="97">
        <v>503</v>
      </c>
      <c r="D376" s="97" t="s">
        <v>464</v>
      </c>
      <c r="E376" s="97">
        <v>500</v>
      </c>
      <c r="F376" s="302">
        <v>244</v>
      </c>
      <c r="G376" s="577">
        <v>300</v>
      </c>
      <c r="H376" s="2261">
        <f t="shared" si="55"/>
        <v>0</v>
      </c>
      <c r="I376" s="2261">
        <f>I377</f>
        <v>0</v>
      </c>
      <c r="J376" s="2262">
        <f>J377</f>
        <v>0</v>
      </c>
      <c r="K376" s="2261">
        <f>K377</f>
        <v>0</v>
      </c>
      <c r="L376" s="2261">
        <f>L377</f>
        <v>0</v>
      </c>
      <c r="M376" s="2489"/>
      <c r="N376" s="833"/>
    </row>
    <row r="377" spans="1:14" ht="12.75" hidden="1">
      <c r="A377" s="291" t="s">
        <v>225</v>
      </c>
      <c r="B377" s="298">
        <v>968</v>
      </c>
      <c r="C377" s="298">
        <v>503</v>
      </c>
      <c r="D377" s="298" t="s">
        <v>464</v>
      </c>
      <c r="E377" s="298">
        <v>500</v>
      </c>
      <c r="F377" s="304">
        <v>244</v>
      </c>
      <c r="G377" s="304">
        <v>310</v>
      </c>
      <c r="H377" s="1532">
        <f t="shared" si="55"/>
        <v>0</v>
      </c>
      <c r="I377" s="1532">
        <v>0</v>
      </c>
      <c r="J377" s="2255">
        <f>300-96.804-203.196</f>
        <v>0</v>
      </c>
      <c r="K377" s="1532">
        <v>0</v>
      </c>
      <c r="L377" s="1532">
        <v>0</v>
      </c>
      <c r="M377" s="2489"/>
      <c r="N377" s="833"/>
    </row>
    <row r="378" spans="1:14" ht="14.25" customHeight="1" hidden="1">
      <c r="A378" s="313" t="s">
        <v>465</v>
      </c>
      <c r="B378" s="286">
        <v>968</v>
      </c>
      <c r="C378" s="286">
        <v>503</v>
      </c>
      <c r="D378" s="286" t="str">
        <f>D379</f>
        <v>600 02 03</v>
      </c>
      <c r="E378" s="286"/>
      <c r="F378" s="314"/>
      <c r="G378" s="314"/>
      <c r="H378" s="2263">
        <f aca="true" t="shared" si="57" ref="H378:L380">H379</f>
        <v>0</v>
      </c>
      <c r="I378" s="2263">
        <f t="shared" si="57"/>
        <v>0</v>
      </c>
      <c r="J378" s="2264">
        <f aca="true" t="shared" si="58" ref="J378:K380">J379</f>
        <v>0</v>
      </c>
      <c r="K378" s="2263">
        <f t="shared" si="58"/>
        <v>0</v>
      </c>
      <c r="L378" s="2263">
        <f t="shared" si="57"/>
        <v>0</v>
      </c>
      <c r="M378" s="2489"/>
      <c r="N378" s="833"/>
    </row>
    <row r="379" spans="1:14" ht="12.75" customHeight="1" hidden="1">
      <c r="A379" s="1078" t="s">
        <v>1002</v>
      </c>
      <c r="B379" s="1085">
        <v>968</v>
      </c>
      <c r="C379" s="1085">
        <v>503</v>
      </c>
      <c r="D379" s="1085" t="str">
        <f>D380</f>
        <v>600 02 03</v>
      </c>
      <c r="E379" s="1085">
        <v>500</v>
      </c>
      <c r="F379" s="1079">
        <v>244</v>
      </c>
      <c r="G379" s="1079"/>
      <c r="H379" s="1086">
        <f t="shared" si="57"/>
        <v>0</v>
      </c>
      <c r="I379" s="1086">
        <f t="shared" si="57"/>
        <v>0</v>
      </c>
      <c r="J379" s="2254">
        <f t="shared" si="58"/>
        <v>0</v>
      </c>
      <c r="K379" s="1086">
        <f t="shared" si="58"/>
        <v>0</v>
      </c>
      <c r="L379" s="1086">
        <f t="shared" si="57"/>
        <v>0</v>
      </c>
      <c r="M379" s="2489"/>
      <c r="N379" s="833"/>
    </row>
    <row r="380" spans="1:14" ht="12.75" hidden="1">
      <c r="A380" s="288" t="s">
        <v>326</v>
      </c>
      <c r="B380" s="97">
        <v>968</v>
      </c>
      <c r="C380" s="97">
        <v>503</v>
      </c>
      <c r="D380" s="97" t="str">
        <f>D381</f>
        <v>600 02 03</v>
      </c>
      <c r="E380" s="97">
        <v>500</v>
      </c>
      <c r="F380" s="302">
        <v>244</v>
      </c>
      <c r="G380" s="302">
        <v>200</v>
      </c>
      <c r="H380" s="1534">
        <f t="shared" si="57"/>
        <v>0</v>
      </c>
      <c r="I380" s="1534">
        <f t="shared" si="57"/>
        <v>0</v>
      </c>
      <c r="J380" s="2256">
        <f t="shared" si="58"/>
        <v>0</v>
      </c>
      <c r="K380" s="1534">
        <f t="shared" si="58"/>
        <v>0</v>
      </c>
      <c r="L380" s="1534">
        <f t="shared" si="57"/>
        <v>0</v>
      </c>
      <c r="M380" s="2489"/>
      <c r="N380" s="833"/>
    </row>
    <row r="381" spans="1:14" ht="12.75" hidden="1">
      <c r="A381" s="291" t="s">
        <v>329</v>
      </c>
      <c r="B381" s="298">
        <v>968</v>
      </c>
      <c r="C381" s="298">
        <v>503</v>
      </c>
      <c r="D381" s="298" t="s">
        <v>376</v>
      </c>
      <c r="E381" s="298">
        <v>500</v>
      </c>
      <c r="F381" s="304">
        <v>244</v>
      </c>
      <c r="G381" s="304">
        <v>226</v>
      </c>
      <c r="H381" s="1532">
        <f>SUM(I381:L381)</f>
        <v>0</v>
      </c>
      <c r="I381" s="1532">
        <v>0</v>
      </c>
      <c r="J381" s="2255">
        <f>250-250</f>
        <v>0</v>
      </c>
      <c r="K381" s="1532">
        <v>0</v>
      </c>
      <c r="L381" s="1532">
        <v>0</v>
      </c>
      <c r="M381" s="2489"/>
      <c r="N381" s="833"/>
    </row>
    <row r="382" spans="1:14" ht="27" customHeight="1">
      <c r="A382" s="2482" t="s">
        <v>1270</v>
      </c>
      <c r="B382" s="2483">
        <v>968</v>
      </c>
      <c r="C382" s="2483">
        <v>503</v>
      </c>
      <c r="D382" s="2483" t="str">
        <f>D384</f>
        <v>600 02 04</v>
      </c>
      <c r="E382" s="2483"/>
      <c r="F382" s="2484"/>
      <c r="G382" s="2484"/>
      <c r="H382" s="2485">
        <f>H384</f>
        <v>198.17000000000002</v>
      </c>
      <c r="I382" s="2485">
        <f aca="true" t="shared" si="59" ref="I382:L383">I383</f>
        <v>0</v>
      </c>
      <c r="J382" s="2485">
        <f t="shared" si="59"/>
        <v>74.471</v>
      </c>
      <c r="K382" s="2485">
        <f t="shared" si="59"/>
        <v>123.699</v>
      </c>
      <c r="L382" s="2485">
        <f t="shared" si="59"/>
        <v>0</v>
      </c>
      <c r="M382" s="2489"/>
      <c r="N382" s="833"/>
    </row>
    <row r="383" spans="1:14" ht="15" customHeight="1">
      <c r="A383" s="310" t="s">
        <v>1158</v>
      </c>
      <c r="B383" s="1550">
        <v>968</v>
      </c>
      <c r="C383" s="1550">
        <v>503</v>
      </c>
      <c r="D383" s="1550" t="str">
        <f>D384</f>
        <v>600 02 04</v>
      </c>
      <c r="E383" s="1550">
        <v>500</v>
      </c>
      <c r="F383" s="1551">
        <v>200</v>
      </c>
      <c r="G383" s="312"/>
      <c r="H383" s="639">
        <f>SUM(I383:L383)</f>
        <v>198.17000000000002</v>
      </c>
      <c r="I383" s="639">
        <f t="shared" si="59"/>
        <v>0</v>
      </c>
      <c r="J383" s="639">
        <f t="shared" si="59"/>
        <v>74.471</v>
      </c>
      <c r="K383" s="639">
        <f t="shared" si="59"/>
        <v>123.699</v>
      </c>
      <c r="L383" s="639">
        <f t="shared" si="59"/>
        <v>0</v>
      </c>
      <c r="M383" s="2489"/>
      <c r="N383" s="833"/>
    </row>
    <row r="384" spans="1:14" ht="15.75" customHeight="1">
      <c r="A384" s="1078" t="s">
        <v>1002</v>
      </c>
      <c r="B384" s="1085">
        <v>968</v>
      </c>
      <c r="C384" s="1085">
        <v>503</v>
      </c>
      <c r="D384" s="1085" t="str">
        <f>D385</f>
        <v>600 02 04</v>
      </c>
      <c r="E384" s="1085">
        <v>500</v>
      </c>
      <c r="F384" s="1079">
        <v>244</v>
      </c>
      <c r="G384" s="1079"/>
      <c r="H384" s="1086">
        <f>H385+H388</f>
        <v>198.17000000000002</v>
      </c>
      <c r="I384" s="1086">
        <f>I385+I388</f>
        <v>0</v>
      </c>
      <c r="J384" s="2254">
        <f>J385+J388</f>
        <v>74.471</v>
      </c>
      <c r="K384" s="1086">
        <f>K385+K388</f>
        <v>123.699</v>
      </c>
      <c r="L384" s="1086">
        <f>L385+L388</f>
        <v>0</v>
      </c>
      <c r="M384" s="2489">
        <v>198.2</v>
      </c>
      <c r="N384" s="833"/>
    </row>
    <row r="385" spans="1:14" ht="12.75">
      <c r="A385" s="288" t="s">
        <v>326</v>
      </c>
      <c r="B385" s="97">
        <v>968</v>
      </c>
      <c r="C385" s="97">
        <v>503</v>
      </c>
      <c r="D385" s="97" t="str">
        <f>D387</f>
        <v>600 02 04</v>
      </c>
      <c r="E385" s="97">
        <v>500</v>
      </c>
      <c r="F385" s="302">
        <v>244</v>
      </c>
      <c r="G385" s="302">
        <v>200</v>
      </c>
      <c r="H385" s="1534">
        <f>SUM(H386:H387)</f>
        <v>150</v>
      </c>
      <c r="I385" s="1534">
        <f>SUM(I386:I387)</f>
        <v>0</v>
      </c>
      <c r="J385" s="1534">
        <f>SUM(J386:J387)</f>
        <v>26.301000000000002</v>
      </c>
      <c r="K385" s="1534">
        <f>SUM(K386:K387)</f>
        <v>123.699</v>
      </c>
      <c r="L385" s="1534">
        <f>SUM(L386:L387)</f>
        <v>0</v>
      </c>
      <c r="M385" s="2489"/>
      <c r="N385" s="833"/>
    </row>
    <row r="386" spans="1:14" ht="12.75" hidden="1">
      <c r="A386" s="291" t="s">
        <v>328</v>
      </c>
      <c r="B386" s="298">
        <v>968</v>
      </c>
      <c r="C386" s="298">
        <v>503</v>
      </c>
      <c r="D386" s="298" t="str">
        <f>D387</f>
        <v>600 02 04</v>
      </c>
      <c r="E386" s="298">
        <v>500</v>
      </c>
      <c r="F386" s="304">
        <v>244</v>
      </c>
      <c r="G386" s="304">
        <v>225</v>
      </c>
      <c r="H386" s="1534">
        <f>SUM(I386:L386)</f>
        <v>0</v>
      </c>
      <c r="I386" s="1534">
        <v>0</v>
      </c>
      <c r="J386" s="2256">
        <v>0</v>
      </c>
      <c r="K386" s="1534">
        <v>0</v>
      </c>
      <c r="L386" s="1534">
        <v>0</v>
      </c>
      <c r="M386" s="2489"/>
      <c r="N386" s="833"/>
    </row>
    <row r="387" spans="1:14" ht="12.75">
      <c r="A387" s="291" t="s">
        <v>329</v>
      </c>
      <c r="B387" s="298">
        <v>968</v>
      </c>
      <c r="C387" s="298">
        <v>503</v>
      </c>
      <c r="D387" s="298" t="str">
        <f>D388</f>
        <v>600 02 04</v>
      </c>
      <c r="E387" s="298">
        <v>500</v>
      </c>
      <c r="F387" s="304">
        <v>244</v>
      </c>
      <c r="G387" s="304">
        <v>226</v>
      </c>
      <c r="H387" s="1532">
        <f>SUM(I387:L387)</f>
        <v>150</v>
      </c>
      <c r="I387" s="1532">
        <v>0</v>
      </c>
      <c r="J387" s="2255">
        <f>50+100-75-48.699</f>
        <v>26.301000000000002</v>
      </c>
      <c r="K387" s="1532">
        <f>100+50-75+48.699</f>
        <v>123.699</v>
      </c>
      <c r="L387" s="1532">
        <f>150-150</f>
        <v>0</v>
      </c>
      <c r="M387" s="2489">
        <v>150</v>
      </c>
      <c r="N387" s="833"/>
    </row>
    <row r="388" spans="1:14" ht="12.75">
      <c r="A388" s="288" t="s">
        <v>330</v>
      </c>
      <c r="B388" s="97">
        <v>968</v>
      </c>
      <c r="C388" s="97">
        <v>503</v>
      </c>
      <c r="D388" s="97" t="str">
        <f>D389</f>
        <v>600 02 04</v>
      </c>
      <c r="E388" s="97">
        <v>500</v>
      </c>
      <c r="F388" s="302">
        <v>244</v>
      </c>
      <c r="G388" s="302">
        <v>300</v>
      </c>
      <c r="H388" s="1534">
        <f>H389</f>
        <v>48.17</v>
      </c>
      <c r="I388" s="1534">
        <f>I389</f>
        <v>0</v>
      </c>
      <c r="J388" s="2256">
        <f>J389</f>
        <v>48.17</v>
      </c>
      <c r="K388" s="1534">
        <f>K389</f>
        <v>0</v>
      </c>
      <c r="L388" s="1534">
        <f>L389</f>
        <v>0</v>
      </c>
      <c r="M388" s="2489"/>
      <c r="N388" s="833"/>
    </row>
    <row r="389" spans="1:14" ht="12.75">
      <c r="A389" s="291" t="s">
        <v>226</v>
      </c>
      <c r="B389" s="298">
        <v>968</v>
      </c>
      <c r="C389" s="298">
        <v>503</v>
      </c>
      <c r="D389" s="298" t="s">
        <v>956</v>
      </c>
      <c r="E389" s="298">
        <v>500</v>
      </c>
      <c r="F389" s="304">
        <v>244</v>
      </c>
      <c r="G389" s="304">
        <v>340</v>
      </c>
      <c r="H389" s="1532">
        <f>SUM(I389:L389)</f>
        <v>48.17</v>
      </c>
      <c r="I389" s="1532">
        <f>100-100</f>
        <v>0</v>
      </c>
      <c r="J389" s="2255">
        <f>50-1.83</f>
        <v>48.17</v>
      </c>
      <c r="K389" s="1532">
        <f>100-100</f>
        <v>0</v>
      </c>
      <c r="L389" s="1532">
        <f>50-50</f>
        <v>0</v>
      </c>
      <c r="M389" s="2489">
        <v>48.2</v>
      </c>
      <c r="N389" s="833"/>
    </row>
    <row r="390" spans="1:14" ht="14.25" customHeight="1">
      <c r="A390" s="310" t="s">
        <v>660</v>
      </c>
      <c r="B390" s="107">
        <v>968</v>
      </c>
      <c r="C390" s="107">
        <v>503</v>
      </c>
      <c r="D390" s="107" t="s">
        <v>661</v>
      </c>
      <c r="E390" s="107"/>
      <c r="F390" s="305"/>
      <c r="G390" s="305"/>
      <c r="H390" s="650">
        <f>H391+H401+H413+H408</f>
        <v>7744.922</v>
      </c>
      <c r="I390" s="650">
        <f>I391+I401+I413+I408</f>
        <v>207.39800000000002</v>
      </c>
      <c r="J390" s="650">
        <f>J391+J401+J413+J408</f>
        <v>1373.4310000000003</v>
      </c>
      <c r="K390" s="650">
        <f>K391+K401+K413+K408</f>
        <v>716.4839999999995</v>
      </c>
      <c r="L390" s="650">
        <f>L391+L401+L413+L408</f>
        <v>5447.609</v>
      </c>
      <c r="M390" s="2489"/>
      <c r="N390" s="833"/>
    </row>
    <row r="391" spans="1:14" ht="21.75" customHeight="1">
      <c r="A391" s="313" t="s">
        <v>1272</v>
      </c>
      <c r="B391" s="100">
        <v>968</v>
      </c>
      <c r="C391" s="100">
        <v>503</v>
      </c>
      <c r="D391" s="100" t="s">
        <v>659</v>
      </c>
      <c r="E391" s="100"/>
      <c r="F391" s="312"/>
      <c r="G391" s="312"/>
      <c r="H391" s="639">
        <f>SUM(I391:L391)</f>
        <v>7297.972</v>
      </c>
      <c r="I391" s="639">
        <f aca="true" t="shared" si="60" ref="I391:L392">I392</f>
        <v>207.39800000000002</v>
      </c>
      <c r="J391" s="639">
        <f t="shared" si="60"/>
        <v>1076.4810000000002</v>
      </c>
      <c r="K391" s="639">
        <f t="shared" si="60"/>
        <v>716.4839999999995</v>
      </c>
      <c r="L391" s="639">
        <f t="shared" si="60"/>
        <v>5297.609</v>
      </c>
      <c r="M391" s="2489"/>
      <c r="N391" s="833"/>
    </row>
    <row r="392" spans="1:14" ht="15.75" customHeight="1">
      <c r="A392" s="310" t="s">
        <v>1158</v>
      </c>
      <c r="B392" s="1550">
        <v>968</v>
      </c>
      <c r="C392" s="1550">
        <v>503</v>
      </c>
      <c r="D392" s="1550" t="s">
        <v>659</v>
      </c>
      <c r="E392" s="1550">
        <v>500</v>
      </c>
      <c r="F392" s="1551">
        <v>200</v>
      </c>
      <c r="G392" s="312"/>
      <c r="H392" s="639">
        <f>SUM(I392:L392)</f>
        <v>7297.972</v>
      </c>
      <c r="I392" s="639">
        <f t="shared" si="60"/>
        <v>207.39800000000002</v>
      </c>
      <c r="J392" s="639">
        <f t="shared" si="60"/>
        <v>1076.4810000000002</v>
      </c>
      <c r="K392" s="639">
        <f t="shared" si="60"/>
        <v>716.4839999999995</v>
      </c>
      <c r="L392" s="639">
        <f t="shared" si="60"/>
        <v>5297.609</v>
      </c>
      <c r="M392" s="2489"/>
      <c r="N392" s="833"/>
    </row>
    <row r="393" spans="1:14" ht="13.5" customHeight="1">
      <c r="A393" s="1078" t="s">
        <v>1002</v>
      </c>
      <c r="B393" s="1085">
        <v>968</v>
      </c>
      <c r="C393" s="1085">
        <v>503</v>
      </c>
      <c r="D393" s="1085" t="s">
        <v>659</v>
      </c>
      <c r="E393" s="1085">
        <v>500</v>
      </c>
      <c r="F393" s="1079">
        <v>244</v>
      </c>
      <c r="G393" s="1079"/>
      <c r="H393" s="1086">
        <f>SUM(I393:L393)</f>
        <v>7297.972</v>
      </c>
      <c r="I393" s="1086">
        <f>I394+I399</f>
        <v>207.39800000000002</v>
      </c>
      <c r="J393" s="2254">
        <f aca="true" t="shared" si="61" ref="J393:L394">J394</f>
        <v>1076.4810000000002</v>
      </c>
      <c r="K393" s="1086">
        <f t="shared" si="61"/>
        <v>716.4839999999995</v>
      </c>
      <c r="L393" s="1086">
        <f t="shared" si="61"/>
        <v>5297.609</v>
      </c>
      <c r="M393" s="2489"/>
      <c r="N393" s="833"/>
    </row>
    <row r="394" spans="1:14" ht="12.75">
      <c r="A394" s="288" t="s">
        <v>326</v>
      </c>
      <c r="B394" s="97">
        <v>968</v>
      </c>
      <c r="C394" s="97">
        <v>503</v>
      </c>
      <c r="D394" s="97" t="s">
        <v>659</v>
      </c>
      <c r="E394" s="97">
        <v>500</v>
      </c>
      <c r="F394" s="302">
        <v>244</v>
      </c>
      <c r="G394" s="302">
        <v>200</v>
      </c>
      <c r="H394" s="1534">
        <f>SUM(I394:L394)</f>
        <v>7297.972</v>
      </c>
      <c r="I394" s="1534">
        <f>I395</f>
        <v>207.39800000000002</v>
      </c>
      <c r="J394" s="2256">
        <f t="shared" si="61"/>
        <v>1076.4810000000002</v>
      </c>
      <c r="K394" s="1534">
        <f t="shared" si="61"/>
        <v>716.4839999999995</v>
      </c>
      <c r="L394" s="1534">
        <f t="shared" si="61"/>
        <v>5297.609</v>
      </c>
      <c r="M394" s="2489"/>
      <c r="N394" s="833"/>
    </row>
    <row r="395" spans="1:14" ht="15.75" customHeight="1">
      <c r="A395" s="291" t="s">
        <v>329</v>
      </c>
      <c r="B395" s="298">
        <v>968</v>
      </c>
      <c r="C395" s="298">
        <v>503</v>
      </c>
      <c r="D395" s="298" t="s">
        <v>659</v>
      </c>
      <c r="E395" s="298">
        <v>500</v>
      </c>
      <c r="F395" s="304">
        <v>244</v>
      </c>
      <c r="G395" s="304">
        <v>226</v>
      </c>
      <c r="H395" s="1532">
        <f>SUM(I395:L395)</f>
        <v>7297.972</v>
      </c>
      <c r="I395" s="1532">
        <f>467.983-260.585</f>
        <v>207.39800000000002</v>
      </c>
      <c r="J395" s="2255">
        <f>2500+231.693-380.533-73.764-1200.915</f>
        <v>1076.4810000000002</v>
      </c>
      <c r="K395" s="1532">
        <f>3021.383+1334.447+380.819-36.718+1118.751+45.038-17.904-5129.332</f>
        <v>716.4839999999995</v>
      </c>
      <c r="L395" s="1532">
        <f>260.299+82.164+5129.332-122.989-51.197</f>
        <v>5297.609</v>
      </c>
      <c r="M395" s="2489">
        <v>7298</v>
      </c>
      <c r="N395" s="833"/>
    </row>
    <row r="396" spans="1:14" ht="36" customHeight="1" hidden="1">
      <c r="A396" s="288" t="s">
        <v>733</v>
      </c>
      <c r="B396" s="97"/>
      <c r="C396" s="97"/>
      <c r="D396" s="97"/>
      <c r="E396" s="97"/>
      <c r="F396" s="302"/>
      <c r="G396" s="302"/>
      <c r="H396" s="2201"/>
      <c r="I396" s="2201"/>
      <c r="J396" s="2225"/>
      <c r="K396" s="2201"/>
      <c r="L396" s="2201"/>
      <c r="M396" s="2489"/>
      <c r="N396" s="833"/>
    </row>
    <row r="397" spans="1:14" ht="12.75" hidden="1">
      <c r="A397" s="288" t="s">
        <v>326</v>
      </c>
      <c r="B397" s="97"/>
      <c r="C397" s="97"/>
      <c r="D397" s="97"/>
      <c r="E397" s="97"/>
      <c r="F397" s="302"/>
      <c r="G397" s="302"/>
      <c r="H397" s="2201"/>
      <c r="I397" s="2201"/>
      <c r="J397" s="2225"/>
      <c r="K397" s="2201"/>
      <c r="L397" s="2201"/>
      <c r="M397" s="2489"/>
      <c r="N397" s="833"/>
    </row>
    <row r="398" spans="1:14" ht="14.25" customHeight="1" hidden="1">
      <c r="A398" s="291" t="s">
        <v>329</v>
      </c>
      <c r="B398" s="298"/>
      <c r="C398" s="298"/>
      <c r="D398" s="298"/>
      <c r="E398" s="298"/>
      <c r="F398" s="304"/>
      <c r="G398" s="304"/>
      <c r="H398" s="2203"/>
      <c r="I398" s="2203"/>
      <c r="J398" s="2224"/>
      <c r="K398" s="2203"/>
      <c r="L398" s="2203"/>
      <c r="M398" s="2489"/>
      <c r="N398" s="833"/>
    </row>
    <row r="399" spans="1:14" ht="14.25" customHeight="1" hidden="1">
      <c r="A399" s="288" t="s">
        <v>330</v>
      </c>
      <c r="B399" s="97">
        <v>968</v>
      </c>
      <c r="C399" s="97">
        <v>503</v>
      </c>
      <c r="D399" s="97" t="s">
        <v>659</v>
      </c>
      <c r="E399" s="97">
        <v>500</v>
      </c>
      <c r="F399" s="302">
        <v>240</v>
      </c>
      <c r="G399" s="302">
        <v>300</v>
      </c>
      <c r="H399" s="2198">
        <f>H400</f>
        <v>0</v>
      </c>
      <c r="I399" s="2198">
        <f>I400</f>
        <v>0</v>
      </c>
      <c r="J399" s="2226">
        <f>J400</f>
        <v>0</v>
      </c>
      <c r="K399" s="2198">
        <f>K400</f>
        <v>0</v>
      </c>
      <c r="L399" s="2198">
        <f>L400</f>
        <v>0</v>
      </c>
      <c r="M399" s="2489"/>
      <c r="N399" s="833"/>
    </row>
    <row r="400" spans="1:14" ht="14.25" customHeight="1" hidden="1">
      <c r="A400" s="291" t="s">
        <v>226</v>
      </c>
      <c r="B400" s="298">
        <v>968</v>
      </c>
      <c r="C400" s="298">
        <v>503</v>
      </c>
      <c r="D400" s="298" t="s">
        <v>659</v>
      </c>
      <c r="E400" s="298">
        <v>500</v>
      </c>
      <c r="F400" s="304">
        <v>240</v>
      </c>
      <c r="G400" s="304">
        <v>340</v>
      </c>
      <c r="H400" s="2203">
        <f aca="true" t="shared" si="62" ref="H400:H405">SUM(I400:L400)</f>
        <v>0</v>
      </c>
      <c r="I400" s="2203">
        <v>0</v>
      </c>
      <c r="J400" s="2224">
        <f>1000+1745-2745</f>
        <v>0</v>
      </c>
      <c r="K400" s="2203">
        <v>0</v>
      </c>
      <c r="L400" s="2203">
        <v>0</v>
      </c>
      <c r="M400" s="2489"/>
      <c r="N400" s="833"/>
    </row>
    <row r="401" spans="1:14" ht="27" customHeight="1">
      <c r="A401" s="313" t="s">
        <v>977</v>
      </c>
      <c r="B401" s="100">
        <v>968</v>
      </c>
      <c r="C401" s="100">
        <v>503</v>
      </c>
      <c r="D401" s="100" t="s">
        <v>662</v>
      </c>
      <c r="E401" s="100"/>
      <c r="F401" s="312"/>
      <c r="G401" s="312"/>
      <c r="H401" s="639">
        <f t="shared" si="62"/>
        <v>296.95</v>
      </c>
      <c r="I401" s="639">
        <f aca="true" t="shared" si="63" ref="I401:L402">I402</f>
        <v>0</v>
      </c>
      <c r="J401" s="639">
        <f t="shared" si="63"/>
        <v>296.95</v>
      </c>
      <c r="K401" s="639">
        <f t="shared" si="63"/>
        <v>0</v>
      </c>
      <c r="L401" s="639">
        <f t="shared" si="63"/>
        <v>0</v>
      </c>
      <c r="M401" s="2489"/>
      <c r="N401" s="833"/>
    </row>
    <row r="402" spans="1:14" ht="15.75" customHeight="1">
      <c r="A402" s="310" t="s">
        <v>1158</v>
      </c>
      <c r="B402" s="1085">
        <v>968</v>
      </c>
      <c r="C402" s="1085">
        <v>503</v>
      </c>
      <c r="D402" s="1085" t="s">
        <v>662</v>
      </c>
      <c r="E402" s="1085">
        <v>500</v>
      </c>
      <c r="F402" s="1079">
        <v>200</v>
      </c>
      <c r="G402" s="314"/>
      <c r="H402" s="639">
        <f t="shared" si="62"/>
        <v>296.95</v>
      </c>
      <c r="I402" s="639">
        <f t="shared" si="63"/>
        <v>0</v>
      </c>
      <c r="J402" s="639">
        <f t="shared" si="63"/>
        <v>296.95</v>
      </c>
      <c r="K402" s="639">
        <f t="shared" si="63"/>
        <v>0</v>
      </c>
      <c r="L402" s="639">
        <f t="shared" si="63"/>
        <v>0</v>
      </c>
      <c r="M402" s="2489"/>
      <c r="N402" s="833"/>
    </row>
    <row r="403" spans="1:14" ht="12.75">
      <c r="A403" s="1078" t="s">
        <v>1002</v>
      </c>
      <c r="B403" s="1085">
        <v>968</v>
      </c>
      <c r="C403" s="1085">
        <v>503</v>
      </c>
      <c r="D403" s="1085" t="s">
        <v>662</v>
      </c>
      <c r="E403" s="1085">
        <v>500</v>
      </c>
      <c r="F403" s="1079">
        <v>244</v>
      </c>
      <c r="G403" s="1079"/>
      <c r="H403" s="1086">
        <f t="shared" si="62"/>
        <v>296.95</v>
      </c>
      <c r="I403" s="1086">
        <f>I404+I406</f>
        <v>0</v>
      </c>
      <c r="J403" s="1086">
        <f>J404</f>
        <v>296.95</v>
      </c>
      <c r="K403" s="1086">
        <f>K404</f>
        <v>0</v>
      </c>
      <c r="L403" s="1086">
        <f>L404+L406</f>
        <v>0</v>
      </c>
      <c r="M403" s="2489"/>
      <c r="N403" s="833"/>
    </row>
    <row r="404" spans="1:14" ht="13.5" customHeight="1">
      <c r="A404" s="288" t="s">
        <v>326</v>
      </c>
      <c r="B404" s="97">
        <v>968</v>
      </c>
      <c r="C404" s="97">
        <v>503</v>
      </c>
      <c r="D404" s="97" t="s">
        <v>662</v>
      </c>
      <c r="E404" s="97">
        <v>500</v>
      </c>
      <c r="F404" s="302">
        <v>244</v>
      </c>
      <c r="G404" s="302">
        <v>200</v>
      </c>
      <c r="H404" s="1532">
        <f t="shared" si="62"/>
        <v>296.95</v>
      </c>
      <c r="I404" s="1532">
        <f>I405</f>
        <v>0</v>
      </c>
      <c r="J404" s="1532">
        <f>J405</f>
        <v>296.95</v>
      </c>
      <c r="K404" s="1532">
        <f>K405</f>
        <v>0</v>
      </c>
      <c r="L404" s="1532">
        <f>L405</f>
        <v>0</v>
      </c>
      <c r="M404" s="2489"/>
      <c r="N404" s="833"/>
    </row>
    <row r="405" spans="1:14" ht="13.5" customHeight="1">
      <c r="A405" s="291" t="s">
        <v>329</v>
      </c>
      <c r="B405" s="298">
        <v>968</v>
      </c>
      <c r="C405" s="298">
        <v>503</v>
      </c>
      <c r="D405" s="298" t="s">
        <v>662</v>
      </c>
      <c r="E405" s="298">
        <v>500</v>
      </c>
      <c r="F405" s="304">
        <v>244</v>
      </c>
      <c r="G405" s="304">
        <v>226</v>
      </c>
      <c r="H405" s="1532">
        <f t="shared" si="62"/>
        <v>296.95</v>
      </c>
      <c r="I405" s="1532">
        <v>0</v>
      </c>
      <c r="J405" s="2255">
        <f>300-3.05</f>
        <v>296.95</v>
      </c>
      <c r="K405" s="1532">
        <f>300-300</f>
        <v>0</v>
      </c>
      <c r="L405" s="1532">
        <f>107.589-107.589</f>
        <v>0</v>
      </c>
      <c r="M405" s="2489">
        <v>296.9</v>
      </c>
      <c r="N405" s="833"/>
    </row>
    <row r="406" spans="1:14" ht="13.5" customHeight="1" hidden="1">
      <c r="A406" s="288" t="s">
        <v>330</v>
      </c>
      <c r="B406" s="97">
        <v>968</v>
      </c>
      <c r="C406" s="97">
        <v>503</v>
      </c>
      <c r="D406" s="97" t="s">
        <v>662</v>
      </c>
      <c r="E406" s="97">
        <v>500</v>
      </c>
      <c r="F406" s="302">
        <v>240</v>
      </c>
      <c r="G406" s="302">
        <v>300</v>
      </c>
      <c r="H406" s="2198">
        <f>H407</f>
        <v>0</v>
      </c>
      <c r="I406" s="2198">
        <f>I407</f>
        <v>0</v>
      </c>
      <c r="J406" s="2226">
        <f>J407</f>
        <v>0</v>
      </c>
      <c r="K406" s="2198">
        <f>K407</f>
        <v>0</v>
      </c>
      <c r="L406" s="2198">
        <f>L407</f>
        <v>0</v>
      </c>
      <c r="M406" s="2489"/>
      <c r="N406" s="833"/>
    </row>
    <row r="407" spans="1:14" ht="13.5" customHeight="1" hidden="1">
      <c r="A407" s="291" t="s">
        <v>226</v>
      </c>
      <c r="B407" s="298">
        <v>968</v>
      </c>
      <c r="C407" s="298">
        <v>503</v>
      </c>
      <c r="D407" s="298" t="s">
        <v>662</v>
      </c>
      <c r="E407" s="298">
        <v>500</v>
      </c>
      <c r="F407" s="304">
        <v>240</v>
      </c>
      <c r="G407" s="304">
        <v>340</v>
      </c>
      <c r="H407" s="2203">
        <f>SUM(I407:L407)</f>
        <v>0</v>
      </c>
      <c r="I407" s="2203">
        <v>0</v>
      </c>
      <c r="J407" s="2224">
        <f>523.56-523.56</f>
        <v>0</v>
      </c>
      <c r="K407" s="2203">
        <f>523.561-523.561</f>
        <v>0</v>
      </c>
      <c r="L407" s="2203">
        <f>107.589-107.589</f>
        <v>0</v>
      </c>
      <c r="M407" s="2489"/>
      <c r="N407" s="833"/>
    </row>
    <row r="408" spans="2:14" ht="25.5" customHeight="1" hidden="1">
      <c r="B408" s="100">
        <v>968</v>
      </c>
      <c r="C408" s="100">
        <v>503</v>
      </c>
      <c r="D408" s="100" t="str">
        <f>D410</f>
        <v>600 03 04</v>
      </c>
      <c r="E408" s="100"/>
      <c r="F408" s="312"/>
      <c r="G408" s="312"/>
      <c r="H408" s="2194">
        <f>H410</f>
        <v>0</v>
      </c>
      <c r="I408" s="2194">
        <f aca="true" t="shared" si="64" ref="I408:L409">I409</f>
        <v>0</v>
      </c>
      <c r="J408" s="2194">
        <f t="shared" si="64"/>
        <v>0</v>
      </c>
      <c r="K408" s="2194">
        <f t="shared" si="64"/>
        <v>0</v>
      </c>
      <c r="L408" s="2194">
        <f t="shared" si="64"/>
        <v>0</v>
      </c>
      <c r="M408" s="2489"/>
      <c r="N408" s="833"/>
    </row>
    <row r="409" spans="1:14" ht="15" customHeight="1" hidden="1">
      <c r="A409" s="310" t="s">
        <v>1158</v>
      </c>
      <c r="B409" s="1085">
        <v>968</v>
      </c>
      <c r="C409" s="1085">
        <v>503</v>
      </c>
      <c r="D409" s="1085" t="str">
        <f>D410</f>
        <v>600 03 04</v>
      </c>
      <c r="E409" s="1085">
        <v>500</v>
      </c>
      <c r="F409" s="1079">
        <v>200</v>
      </c>
      <c r="G409" s="314"/>
      <c r="H409" s="2194">
        <f>SUM(I409:L409)</f>
        <v>0</v>
      </c>
      <c r="I409" s="2194">
        <f t="shared" si="64"/>
        <v>0</v>
      </c>
      <c r="J409" s="2194">
        <f t="shared" si="64"/>
        <v>0</v>
      </c>
      <c r="K409" s="2194">
        <f t="shared" si="64"/>
        <v>0</v>
      </c>
      <c r="L409" s="2194">
        <f t="shared" si="64"/>
        <v>0</v>
      </c>
      <c r="M409" s="2489"/>
      <c r="N409" s="833"/>
    </row>
    <row r="410" spans="1:14" ht="13.5" customHeight="1" hidden="1">
      <c r="A410" s="1078" t="s">
        <v>1002</v>
      </c>
      <c r="B410" s="1085">
        <v>968</v>
      </c>
      <c r="C410" s="1085">
        <v>503</v>
      </c>
      <c r="D410" s="1085" t="str">
        <f>D411</f>
        <v>600 03 04</v>
      </c>
      <c r="E410" s="1085">
        <v>500</v>
      </c>
      <c r="F410" s="1079">
        <v>244</v>
      </c>
      <c r="G410" s="1079"/>
      <c r="H410" s="2196">
        <f aca="true" t="shared" si="65" ref="H410:L411">H411</f>
        <v>0</v>
      </c>
      <c r="I410" s="2196">
        <f t="shared" si="65"/>
        <v>0</v>
      </c>
      <c r="J410" s="2223">
        <f t="shared" si="65"/>
        <v>0</v>
      </c>
      <c r="K410" s="2196">
        <f t="shared" si="65"/>
        <v>0</v>
      </c>
      <c r="L410" s="2196">
        <f t="shared" si="65"/>
        <v>0</v>
      </c>
      <c r="M410" s="2489"/>
      <c r="N410" s="833"/>
    </row>
    <row r="411" spans="1:14" ht="13.5" customHeight="1" hidden="1">
      <c r="A411" s="288" t="s">
        <v>326</v>
      </c>
      <c r="B411" s="97">
        <v>968</v>
      </c>
      <c r="C411" s="97">
        <v>503</v>
      </c>
      <c r="D411" s="97" t="str">
        <f>D412</f>
        <v>600 03 04</v>
      </c>
      <c r="E411" s="97">
        <v>500</v>
      </c>
      <c r="F411" s="302">
        <v>244</v>
      </c>
      <c r="G411" s="302">
        <v>200</v>
      </c>
      <c r="H411" s="2201">
        <f t="shared" si="65"/>
        <v>0</v>
      </c>
      <c r="I411" s="2201">
        <f t="shared" si="65"/>
        <v>0</v>
      </c>
      <c r="J411" s="2225">
        <f t="shared" si="65"/>
        <v>0</v>
      </c>
      <c r="K411" s="2201">
        <f t="shared" si="65"/>
        <v>0</v>
      </c>
      <c r="L411" s="2201">
        <f t="shared" si="65"/>
        <v>0</v>
      </c>
      <c r="M411" s="2489"/>
      <c r="N411" s="833"/>
    </row>
    <row r="412" spans="1:14" ht="13.5" customHeight="1" hidden="1">
      <c r="A412" s="291" t="s">
        <v>329</v>
      </c>
      <c r="B412" s="298">
        <v>968</v>
      </c>
      <c r="C412" s="298">
        <v>503</v>
      </c>
      <c r="D412" s="298" t="s">
        <v>976</v>
      </c>
      <c r="E412" s="298">
        <v>500</v>
      </c>
      <c r="F412" s="304">
        <v>244</v>
      </c>
      <c r="G412" s="304">
        <v>226</v>
      </c>
      <c r="H412" s="2203">
        <f aca="true" t="shared" si="66" ref="H412:H417">SUM(I412:L412)</f>
        <v>0</v>
      </c>
      <c r="I412" s="2203">
        <v>0</v>
      </c>
      <c r="J412" s="2224">
        <f>500-500</f>
        <v>0</v>
      </c>
      <c r="K412" s="2203">
        <v>0</v>
      </c>
      <c r="L412" s="2203">
        <v>0</v>
      </c>
      <c r="M412" s="2489"/>
      <c r="N412" s="833"/>
    </row>
    <row r="413" spans="1:14" ht="15.75" customHeight="1">
      <c r="A413" s="313" t="s">
        <v>960</v>
      </c>
      <c r="B413" s="100">
        <v>968</v>
      </c>
      <c r="C413" s="100">
        <v>503</v>
      </c>
      <c r="D413" s="100" t="str">
        <f>D415</f>
        <v>600 03 05</v>
      </c>
      <c r="E413" s="100"/>
      <c r="F413" s="312"/>
      <c r="G413" s="312"/>
      <c r="H413" s="639">
        <f t="shared" si="66"/>
        <v>150</v>
      </c>
      <c r="I413" s="639">
        <f aca="true" t="shared" si="67" ref="I413:L414">I414</f>
        <v>0</v>
      </c>
      <c r="J413" s="639">
        <f t="shared" si="67"/>
        <v>0</v>
      </c>
      <c r="K413" s="639">
        <f t="shared" si="67"/>
        <v>0</v>
      </c>
      <c r="L413" s="639">
        <f t="shared" si="67"/>
        <v>150</v>
      </c>
      <c r="M413" s="2489"/>
      <c r="N413" s="833"/>
    </row>
    <row r="414" spans="1:14" ht="15.75" customHeight="1">
      <c r="A414" s="310" t="s">
        <v>1158</v>
      </c>
      <c r="B414" s="1085">
        <v>968</v>
      </c>
      <c r="C414" s="1085">
        <v>503</v>
      </c>
      <c r="D414" s="1085" t="str">
        <f>D415</f>
        <v>600 03 05</v>
      </c>
      <c r="E414" s="1085">
        <v>500</v>
      </c>
      <c r="F414" s="1079">
        <v>200</v>
      </c>
      <c r="G414" s="314"/>
      <c r="H414" s="639">
        <f t="shared" si="66"/>
        <v>150</v>
      </c>
      <c r="I414" s="639">
        <f t="shared" si="67"/>
        <v>0</v>
      </c>
      <c r="J414" s="639">
        <f t="shared" si="67"/>
        <v>0</v>
      </c>
      <c r="K414" s="639">
        <f t="shared" si="67"/>
        <v>0</v>
      </c>
      <c r="L414" s="639">
        <f t="shared" si="67"/>
        <v>150</v>
      </c>
      <c r="M414" s="2489"/>
      <c r="N414" s="833"/>
    </row>
    <row r="415" spans="1:14" ht="15" customHeight="1">
      <c r="A415" s="1078" t="s">
        <v>1002</v>
      </c>
      <c r="B415" s="1085">
        <v>968</v>
      </c>
      <c r="C415" s="1085">
        <v>503</v>
      </c>
      <c r="D415" s="1085" t="str">
        <f>D416</f>
        <v>600 03 05</v>
      </c>
      <c r="E415" s="1085">
        <v>500</v>
      </c>
      <c r="F415" s="1079">
        <v>244</v>
      </c>
      <c r="G415" s="1079"/>
      <c r="H415" s="1086">
        <f t="shared" si="66"/>
        <v>150</v>
      </c>
      <c r="I415" s="1086">
        <f aca="true" t="shared" si="68" ref="I415:K416">I416</f>
        <v>0</v>
      </c>
      <c r="J415" s="2254">
        <f>J416</f>
        <v>0</v>
      </c>
      <c r="K415" s="1086">
        <f t="shared" si="68"/>
        <v>0</v>
      </c>
      <c r="L415" s="1086">
        <f>L416</f>
        <v>150</v>
      </c>
      <c r="M415" s="2489"/>
      <c r="N415" s="833"/>
    </row>
    <row r="416" spans="1:14" ht="12.75">
      <c r="A416" s="288" t="s">
        <v>326</v>
      </c>
      <c r="B416" s="97">
        <v>968</v>
      </c>
      <c r="C416" s="97">
        <v>503</v>
      </c>
      <c r="D416" s="97" t="str">
        <f>D417</f>
        <v>600 03 05</v>
      </c>
      <c r="E416" s="97">
        <v>500</v>
      </c>
      <c r="F416" s="302">
        <v>244</v>
      </c>
      <c r="G416" s="302">
        <v>200</v>
      </c>
      <c r="H416" s="1534">
        <f t="shared" si="66"/>
        <v>150</v>
      </c>
      <c r="I416" s="1534">
        <f t="shared" si="68"/>
        <v>0</v>
      </c>
      <c r="J416" s="2256">
        <f>J417</f>
        <v>0</v>
      </c>
      <c r="K416" s="1534">
        <f t="shared" si="68"/>
        <v>0</v>
      </c>
      <c r="L416" s="1534">
        <f>L417</f>
        <v>150</v>
      </c>
      <c r="M416" s="2489"/>
      <c r="N416" s="833"/>
    </row>
    <row r="417" spans="1:14" ht="12.75">
      <c r="A417" s="291" t="s">
        <v>329</v>
      </c>
      <c r="B417" s="298">
        <v>968</v>
      </c>
      <c r="C417" s="298">
        <v>503</v>
      </c>
      <c r="D417" s="298" t="s">
        <v>959</v>
      </c>
      <c r="E417" s="298">
        <v>500</v>
      </c>
      <c r="F417" s="304">
        <v>244</v>
      </c>
      <c r="G417" s="304">
        <v>226</v>
      </c>
      <c r="H417" s="1532">
        <f t="shared" si="66"/>
        <v>150</v>
      </c>
      <c r="I417" s="1532">
        <v>0</v>
      </c>
      <c r="J417" s="2255">
        <v>0</v>
      </c>
      <c r="K417" s="1532">
        <v>0</v>
      </c>
      <c r="L417" s="1532">
        <v>150</v>
      </c>
      <c r="M417" s="2489">
        <v>150</v>
      </c>
      <c r="N417" s="833"/>
    </row>
    <row r="418" spans="1:14" ht="12.75">
      <c r="A418" s="310" t="s">
        <v>961</v>
      </c>
      <c r="B418" s="107">
        <v>968</v>
      </c>
      <c r="C418" s="107">
        <v>503</v>
      </c>
      <c r="D418" s="107" t="s">
        <v>663</v>
      </c>
      <c r="E418" s="107"/>
      <c r="F418" s="305"/>
      <c r="G418" s="305"/>
      <c r="H418" s="650">
        <f>H419+H427+H432</f>
        <v>6043.642</v>
      </c>
      <c r="I418" s="650">
        <f>I419+I427+I432</f>
        <v>0</v>
      </c>
      <c r="J418" s="650">
        <f>J419+J427+J432</f>
        <v>0</v>
      </c>
      <c r="K418" s="650">
        <f>K419+K427+K432</f>
        <v>2277.7809999999995</v>
      </c>
      <c r="L418" s="650">
        <f>L419+L427+L432</f>
        <v>3765.861</v>
      </c>
      <c r="M418" s="2489"/>
      <c r="N418" s="833"/>
    </row>
    <row r="419" spans="1:14" ht="27" customHeight="1">
      <c r="A419" s="2486" t="s">
        <v>962</v>
      </c>
      <c r="B419" s="2487">
        <v>968</v>
      </c>
      <c r="C419" s="2487">
        <v>503</v>
      </c>
      <c r="D419" s="2483" t="s">
        <v>664</v>
      </c>
      <c r="E419" s="2483"/>
      <c r="F419" s="2484"/>
      <c r="G419" s="2484"/>
      <c r="H419" s="2485">
        <f aca="true" t="shared" si="69" ref="H419:H424">SUM(I419:L419)</f>
        <v>4108.826</v>
      </c>
      <c r="I419" s="2485">
        <f aca="true" t="shared" si="70" ref="I419:L420">I420</f>
        <v>0</v>
      </c>
      <c r="J419" s="2485">
        <f t="shared" si="70"/>
        <v>0</v>
      </c>
      <c r="K419" s="2485">
        <f t="shared" si="70"/>
        <v>1728.1779999999997</v>
      </c>
      <c r="L419" s="2485">
        <f t="shared" si="70"/>
        <v>2380.648</v>
      </c>
      <c r="M419" s="2489">
        <v>4108.8</v>
      </c>
      <c r="N419" s="833"/>
    </row>
    <row r="420" spans="1:14" ht="16.5" customHeight="1">
      <c r="A420" s="310" t="s">
        <v>1158</v>
      </c>
      <c r="B420" s="1085">
        <v>968</v>
      </c>
      <c r="C420" s="1085">
        <v>503</v>
      </c>
      <c r="D420" s="1085" t="s">
        <v>664</v>
      </c>
      <c r="E420" s="1085">
        <v>500</v>
      </c>
      <c r="F420" s="1079">
        <v>200</v>
      </c>
      <c r="G420" s="305"/>
      <c r="H420" s="2263">
        <f t="shared" si="69"/>
        <v>4108.826</v>
      </c>
      <c r="I420" s="2263">
        <f t="shared" si="70"/>
        <v>0</v>
      </c>
      <c r="J420" s="2263">
        <f t="shared" si="70"/>
        <v>0</v>
      </c>
      <c r="K420" s="2263">
        <f t="shared" si="70"/>
        <v>1728.1779999999997</v>
      </c>
      <c r="L420" s="2263">
        <f t="shared" si="70"/>
        <v>2380.648</v>
      </c>
      <c r="M420" s="833"/>
      <c r="N420" s="833"/>
    </row>
    <row r="421" spans="1:14" ht="12.75">
      <c r="A421" s="1078" t="s">
        <v>1002</v>
      </c>
      <c r="B421" s="1085">
        <v>968</v>
      </c>
      <c r="C421" s="1085">
        <v>503</v>
      </c>
      <c r="D421" s="1085" t="s">
        <v>664</v>
      </c>
      <c r="E421" s="1085">
        <v>500</v>
      </c>
      <c r="F421" s="1079">
        <v>244</v>
      </c>
      <c r="G421" s="1079"/>
      <c r="H421" s="1086">
        <f t="shared" si="69"/>
        <v>4108.826</v>
      </c>
      <c r="I421" s="1086">
        <f>I422+I425</f>
        <v>0</v>
      </c>
      <c r="J421" s="1086">
        <f>J422+J425</f>
        <v>0</v>
      </c>
      <c r="K421" s="1086">
        <f>K422+K425</f>
        <v>1728.1779999999997</v>
      </c>
      <c r="L421" s="1086">
        <f>L422+L425</f>
        <v>2380.648</v>
      </c>
      <c r="M421" s="2489">
        <v>4108.8</v>
      </c>
      <c r="N421" s="833"/>
    </row>
    <row r="422" spans="1:14" ht="12.75">
      <c r="A422" s="288" t="s">
        <v>326</v>
      </c>
      <c r="B422" s="97">
        <v>968</v>
      </c>
      <c r="C422" s="97">
        <v>503</v>
      </c>
      <c r="D422" s="97" t="s">
        <v>664</v>
      </c>
      <c r="E422" s="97">
        <v>500</v>
      </c>
      <c r="F422" s="302">
        <v>244</v>
      </c>
      <c r="G422" s="1084">
        <v>200</v>
      </c>
      <c r="H422" s="1534">
        <f t="shared" si="69"/>
        <v>1167.844</v>
      </c>
      <c r="I422" s="1534">
        <f>SUM(I423:I424)</f>
        <v>0</v>
      </c>
      <c r="J422" s="1534">
        <f>SUM(J423:J424)</f>
        <v>0</v>
      </c>
      <c r="K422" s="1534">
        <f>SUM(K423:K424)</f>
        <v>1074.0020000000002</v>
      </c>
      <c r="L422" s="1534">
        <f>SUM(L423:L424)</f>
        <v>93.84199999999998</v>
      </c>
      <c r="M422" s="2489"/>
      <c r="N422" s="833"/>
    </row>
    <row r="423" spans="1:14" ht="13.5" customHeight="1" hidden="1">
      <c r="A423" s="291" t="s">
        <v>328</v>
      </c>
      <c r="B423" s="298">
        <v>968</v>
      </c>
      <c r="C423" s="298">
        <v>503</v>
      </c>
      <c r="D423" s="298" t="s">
        <v>664</v>
      </c>
      <c r="E423" s="298">
        <v>500</v>
      </c>
      <c r="F423" s="304">
        <v>244</v>
      </c>
      <c r="G423" s="1755">
        <v>225</v>
      </c>
      <c r="H423" s="1532">
        <f t="shared" si="69"/>
        <v>0</v>
      </c>
      <c r="I423" s="1532">
        <v>0</v>
      </c>
      <c r="J423" s="2255">
        <f>250-250</f>
        <v>0</v>
      </c>
      <c r="K423" s="1532">
        <v>0</v>
      </c>
      <c r="L423" s="1532">
        <f>500-500</f>
        <v>0</v>
      </c>
      <c r="M423" s="2489"/>
      <c r="N423" s="833"/>
    </row>
    <row r="424" spans="1:14" ht="13.5" customHeight="1">
      <c r="A424" s="291" t="s">
        <v>329</v>
      </c>
      <c r="B424" s="298">
        <v>968</v>
      </c>
      <c r="C424" s="298">
        <v>503</v>
      </c>
      <c r="D424" s="298" t="s">
        <v>664</v>
      </c>
      <c r="E424" s="298">
        <v>500</v>
      </c>
      <c r="F424" s="304">
        <v>244</v>
      </c>
      <c r="G424" s="1755">
        <v>226</v>
      </c>
      <c r="H424" s="1532">
        <f t="shared" si="69"/>
        <v>1167.844</v>
      </c>
      <c r="I424" s="1532">
        <f>1145.923-1145.923</f>
        <v>0</v>
      </c>
      <c r="J424" s="2255">
        <f>60+34.459-29.959-64.5</f>
        <v>0</v>
      </c>
      <c r="K424" s="1532">
        <f>1000+175.721-47.821+64.5-45.038-73.36</f>
        <v>1074.0020000000002</v>
      </c>
      <c r="L424" s="1532">
        <f>215.598-215.598+73.36+65.535-45.053</f>
        <v>93.84199999999998</v>
      </c>
      <c r="M424" s="2489">
        <v>1167.8</v>
      </c>
      <c r="N424" s="833"/>
    </row>
    <row r="425" spans="1:14" ht="13.5" customHeight="1">
      <c r="A425" s="288" t="s">
        <v>330</v>
      </c>
      <c r="B425" s="97">
        <v>968</v>
      </c>
      <c r="C425" s="97">
        <v>503</v>
      </c>
      <c r="D425" s="97" t="s">
        <v>664</v>
      </c>
      <c r="E425" s="97">
        <v>500</v>
      </c>
      <c r="F425" s="302">
        <v>244</v>
      </c>
      <c r="G425" s="577">
        <v>300</v>
      </c>
      <c r="H425" s="2261">
        <f>H426</f>
        <v>2940.9819999999995</v>
      </c>
      <c r="I425" s="2261">
        <f>I426</f>
        <v>0</v>
      </c>
      <c r="J425" s="2262">
        <f>J426</f>
        <v>0</v>
      </c>
      <c r="K425" s="2261">
        <f>K426</f>
        <v>654.1759999999995</v>
      </c>
      <c r="L425" s="2261">
        <f>L426</f>
        <v>2286.806</v>
      </c>
      <c r="M425" s="2489"/>
      <c r="N425" s="833"/>
    </row>
    <row r="426" spans="1:14" ht="13.5" customHeight="1">
      <c r="A426" s="291" t="s">
        <v>225</v>
      </c>
      <c r="B426" s="298">
        <v>968</v>
      </c>
      <c r="C426" s="298">
        <v>503</v>
      </c>
      <c r="D426" s="298" t="s">
        <v>664</v>
      </c>
      <c r="E426" s="298">
        <v>500</v>
      </c>
      <c r="F426" s="304">
        <v>244</v>
      </c>
      <c r="G426" s="304">
        <v>310</v>
      </c>
      <c r="H426" s="1532">
        <f>SUM(I426:L426)</f>
        <v>2940.9819999999995</v>
      </c>
      <c r="I426" s="1532">
        <v>0</v>
      </c>
      <c r="J426" s="2255">
        <f>1000-1000</f>
        <v>0</v>
      </c>
      <c r="K426" s="1532">
        <f>1978.061+1000-37.079-2286.806</f>
        <v>654.1759999999995</v>
      </c>
      <c r="L426" s="1532">
        <f>2286.806</f>
        <v>2286.806</v>
      </c>
      <c r="M426" s="2489">
        <v>2941</v>
      </c>
      <c r="N426" s="833"/>
    </row>
    <row r="427" spans="1:14" ht="13.5" customHeight="1">
      <c r="A427" s="1092" t="s">
        <v>963</v>
      </c>
      <c r="B427" s="648">
        <v>968</v>
      </c>
      <c r="C427" s="648">
        <v>503</v>
      </c>
      <c r="D427" s="648" t="str">
        <f>D429</f>
        <v>600 04 02</v>
      </c>
      <c r="E427" s="648"/>
      <c r="F427" s="1748"/>
      <c r="G427" s="1082"/>
      <c r="H427" s="639">
        <f>H429</f>
        <v>1134.8159999999998</v>
      </c>
      <c r="I427" s="639">
        <f aca="true" t="shared" si="71" ref="I427:L428">I428</f>
        <v>0</v>
      </c>
      <c r="J427" s="639">
        <f t="shared" si="71"/>
        <v>0</v>
      </c>
      <c r="K427" s="639">
        <f t="shared" si="71"/>
        <v>549.603</v>
      </c>
      <c r="L427" s="639">
        <f t="shared" si="71"/>
        <v>585.213</v>
      </c>
      <c r="M427" s="2489"/>
      <c r="N427" s="833"/>
    </row>
    <row r="428" spans="1:14" ht="13.5" customHeight="1">
      <c r="A428" s="310" t="s">
        <v>1158</v>
      </c>
      <c r="B428" s="1085">
        <v>968</v>
      </c>
      <c r="C428" s="1085">
        <v>503</v>
      </c>
      <c r="D428" s="1085" t="str">
        <f>D429</f>
        <v>600 04 02</v>
      </c>
      <c r="E428" s="1085">
        <v>500</v>
      </c>
      <c r="F428" s="1079">
        <v>200</v>
      </c>
      <c r="G428" s="304"/>
      <c r="H428" s="2265">
        <f>SUM(I428:L428)</f>
        <v>1134.8159999999998</v>
      </c>
      <c r="I428" s="2265">
        <f t="shared" si="71"/>
        <v>0</v>
      </c>
      <c r="J428" s="2265">
        <f t="shared" si="71"/>
        <v>0</v>
      </c>
      <c r="K428" s="2265">
        <f t="shared" si="71"/>
        <v>549.603</v>
      </c>
      <c r="L428" s="2265">
        <f t="shared" si="71"/>
        <v>585.213</v>
      </c>
      <c r="M428" s="2489"/>
      <c r="N428" s="833"/>
    </row>
    <row r="429" spans="1:14" ht="13.5" customHeight="1">
      <c r="A429" s="1078" t="s">
        <v>1002</v>
      </c>
      <c r="B429" s="1085">
        <v>968</v>
      </c>
      <c r="C429" s="1085">
        <v>503</v>
      </c>
      <c r="D429" s="1085" t="str">
        <f>D430</f>
        <v>600 04 02</v>
      </c>
      <c r="E429" s="1085">
        <v>500</v>
      </c>
      <c r="F429" s="1079">
        <v>244</v>
      </c>
      <c r="G429" s="304"/>
      <c r="H429" s="2265">
        <f aca="true" t="shared" si="72" ref="H429:J430">H430</f>
        <v>1134.8159999999998</v>
      </c>
      <c r="I429" s="2265">
        <f t="shared" si="72"/>
        <v>0</v>
      </c>
      <c r="J429" s="2265">
        <f t="shared" si="72"/>
        <v>0</v>
      </c>
      <c r="K429" s="2265">
        <f>K430</f>
        <v>549.603</v>
      </c>
      <c r="L429" s="2265">
        <f>L430</f>
        <v>585.213</v>
      </c>
      <c r="M429" s="2489"/>
      <c r="N429" s="833"/>
    </row>
    <row r="430" spans="1:14" ht="13.5" customHeight="1">
      <c r="A430" s="288" t="s">
        <v>330</v>
      </c>
      <c r="B430" s="97">
        <v>968</v>
      </c>
      <c r="C430" s="97">
        <v>503</v>
      </c>
      <c r="D430" s="97" t="str">
        <f>D431</f>
        <v>600 04 02</v>
      </c>
      <c r="E430" s="97">
        <v>500</v>
      </c>
      <c r="F430" s="302">
        <v>244</v>
      </c>
      <c r="G430" s="577">
        <v>300</v>
      </c>
      <c r="H430" s="1532">
        <f t="shared" si="72"/>
        <v>1134.8159999999998</v>
      </c>
      <c r="I430" s="1532">
        <f t="shared" si="72"/>
        <v>0</v>
      </c>
      <c r="J430" s="1532">
        <f t="shared" si="72"/>
        <v>0</v>
      </c>
      <c r="K430" s="1532">
        <f>K431</f>
        <v>549.603</v>
      </c>
      <c r="L430" s="1532">
        <f>L431</f>
        <v>585.213</v>
      </c>
      <c r="M430" s="2489"/>
      <c r="N430" s="833"/>
    </row>
    <row r="431" spans="1:14" ht="13.5" customHeight="1">
      <c r="A431" s="291" t="s">
        <v>225</v>
      </c>
      <c r="B431" s="298">
        <v>968</v>
      </c>
      <c r="C431" s="298">
        <v>503</v>
      </c>
      <c r="D431" s="298" t="s">
        <v>681</v>
      </c>
      <c r="E431" s="298">
        <v>500</v>
      </c>
      <c r="F431" s="304">
        <v>244</v>
      </c>
      <c r="G431" s="304">
        <v>310</v>
      </c>
      <c r="H431" s="1532">
        <f>SUM(I431:L431)</f>
        <v>1134.8159999999998</v>
      </c>
      <c r="I431" s="1532">
        <v>0</v>
      </c>
      <c r="J431" s="2255">
        <f>420-137.65-282.35</f>
        <v>0</v>
      </c>
      <c r="K431" s="1532">
        <f>1019.434-157.715+282.35-594.466</f>
        <v>549.603</v>
      </c>
      <c r="L431" s="1532">
        <f>1439.434-1439.434+594.466-9.253</f>
        <v>585.213</v>
      </c>
      <c r="M431" s="2489">
        <v>1134.8</v>
      </c>
      <c r="N431" s="833"/>
    </row>
    <row r="432" spans="1:14" ht="27" customHeight="1">
      <c r="A432" s="313" t="s">
        <v>133</v>
      </c>
      <c r="B432" s="100">
        <v>968</v>
      </c>
      <c r="C432" s="100">
        <v>503</v>
      </c>
      <c r="D432" s="100" t="str">
        <f>D434</f>
        <v>600 04 03</v>
      </c>
      <c r="E432" s="100"/>
      <c r="F432" s="312"/>
      <c r="G432" s="312"/>
      <c r="H432" s="639">
        <f>H434</f>
        <v>800</v>
      </c>
      <c r="I432" s="639">
        <f aca="true" t="shared" si="73" ref="I432:L433">I433</f>
        <v>0</v>
      </c>
      <c r="J432" s="639">
        <f t="shared" si="73"/>
        <v>0</v>
      </c>
      <c r="K432" s="639">
        <f t="shared" si="73"/>
        <v>0</v>
      </c>
      <c r="L432" s="639">
        <f t="shared" si="73"/>
        <v>800</v>
      </c>
      <c r="M432" s="2489"/>
      <c r="N432" s="833"/>
    </row>
    <row r="433" spans="1:14" ht="15" customHeight="1">
      <c r="A433" s="310" t="s">
        <v>1158</v>
      </c>
      <c r="B433" s="1085">
        <v>968</v>
      </c>
      <c r="C433" s="1085">
        <v>503</v>
      </c>
      <c r="D433" s="1085" t="str">
        <f>D434</f>
        <v>600 04 03</v>
      </c>
      <c r="E433" s="1085">
        <v>500</v>
      </c>
      <c r="F433" s="1079">
        <v>200</v>
      </c>
      <c r="G433" s="314"/>
      <c r="H433" s="639">
        <f>SUM(I433:L433)</f>
        <v>800</v>
      </c>
      <c r="I433" s="639">
        <f t="shared" si="73"/>
        <v>0</v>
      </c>
      <c r="J433" s="639">
        <f t="shared" si="73"/>
        <v>0</v>
      </c>
      <c r="K433" s="639">
        <f t="shared" si="73"/>
        <v>0</v>
      </c>
      <c r="L433" s="639">
        <f t="shared" si="73"/>
        <v>800</v>
      </c>
      <c r="M433" s="2489"/>
      <c r="N433" s="833"/>
    </row>
    <row r="434" spans="1:14" ht="12.75">
      <c r="A434" s="1078" t="s">
        <v>1002</v>
      </c>
      <c r="B434" s="1085">
        <v>968</v>
      </c>
      <c r="C434" s="1085">
        <v>503</v>
      </c>
      <c r="D434" s="1085" t="str">
        <f>D435</f>
        <v>600 04 03</v>
      </c>
      <c r="E434" s="1085">
        <v>500</v>
      </c>
      <c r="F434" s="1079">
        <v>244</v>
      </c>
      <c r="G434" s="1079"/>
      <c r="H434" s="1086">
        <f aca="true" t="shared" si="74" ref="H434:L435">H435</f>
        <v>800</v>
      </c>
      <c r="I434" s="1086">
        <f t="shared" si="74"/>
        <v>0</v>
      </c>
      <c r="J434" s="2254">
        <f t="shared" si="74"/>
        <v>0</v>
      </c>
      <c r="K434" s="1086">
        <f t="shared" si="74"/>
        <v>0</v>
      </c>
      <c r="L434" s="1086">
        <f t="shared" si="74"/>
        <v>800</v>
      </c>
      <c r="M434" s="2489"/>
      <c r="N434" s="833"/>
    </row>
    <row r="435" spans="1:14" ht="12.75">
      <c r="A435" s="288" t="s">
        <v>326</v>
      </c>
      <c r="B435" s="97">
        <v>968</v>
      </c>
      <c r="C435" s="97">
        <v>503</v>
      </c>
      <c r="D435" s="97" t="str">
        <f>D436</f>
        <v>600 04 03</v>
      </c>
      <c r="E435" s="97">
        <v>500</v>
      </c>
      <c r="F435" s="302">
        <v>244</v>
      </c>
      <c r="G435" s="302">
        <v>200</v>
      </c>
      <c r="H435" s="1534">
        <f t="shared" si="74"/>
        <v>800</v>
      </c>
      <c r="I435" s="1534">
        <f t="shared" si="74"/>
        <v>0</v>
      </c>
      <c r="J435" s="2256">
        <f t="shared" si="74"/>
        <v>0</v>
      </c>
      <c r="K435" s="1534">
        <f t="shared" si="74"/>
        <v>0</v>
      </c>
      <c r="L435" s="1534">
        <f t="shared" si="74"/>
        <v>800</v>
      </c>
      <c r="M435" s="2489"/>
      <c r="N435" s="833"/>
    </row>
    <row r="436" spans="1:14" ht="13.5" thickBot="1">
      <c r="A436" s="291" t="s">
        <v>329</v>
      </c>
      <c r="B436" s="298">
        <v>968</v>
      </c>
      <c r="C436" s="298">
        <v>503</v>
      </c>
      <c r="D436" s="298" t="s">
        <v>825</v>
      </c>
      <c r="E436" s="298">
        <v>500</v>
      </c>
      <c r="F436" s="304">
        <v>244</v>
      </c>
      <c r="G436" s="304">
        <v>226</v>
      </c>
      <c r="H436" s="1532">
        <f>SUM(I436:L436)</f>
        <v>800</v>
      </c>
      <c r="I436" s="1532">
        <v>0</v>
      </c>
      <c r="J436" s="2255">
        <f>1000-1000</f>
        <v>0</v>
      </c>
      <c r="K436" s="1532">
        <v>0</v>
      </c>
      <c r="L436" s="1532">
        <v>800</v>
      </c>
      <c r="M436" s="2489">
        <v>800</v>
      </c>
      <c r="N436" s="833"/>
    </row>
    <row r="437" spans="1:14" ht="15.75" hidden="1" thickBot="1">
      <c r="A437" s="569" t="s">
        <v>684</v>
      </c>
      <c r="B437" s="570">
        <v>968</v>
      </c>
      <c r="C437" s="570">
        <v>600</v>
      </c>
      <c r="D437" s="570"/>
      <c r="E437" s="570"/>
      <c r="F437" s="571"/>
      <c r="G437" s="571"/>
      <c r="H437" s="2209">
        <f>SUM(I437:L437)</f>
        <v>0</v>
      </c>
      <c r="I437" s="2227">
        <f aca="true" t="shared" si="75" ref="H437:L441">I438</f>
        <v>0</v>
      </c>
      <c r="J437" s="2209">
        <f t="shared" si="75"/>
        <v>0</v>
      </c>
      <c r="K437" s="2227">
        <f t="shared" si="75"/>
        <v>0</v>
      </c>
      <c r="L437" s="2209">
        <f t="shared" si="75"/>
        <v>0</v>
      </c>
      <c r="M437" s="2489"/>
      <c r="N437" s="833"/>
    </row>
    <row r="438" spans="1:14" ht="15" customHeight="1" hidden="1">
      <c r="A438" s="574" t="s">
        <v>687</v>
      </c>
      <c r="B438" s="575">
        <v>968</v>
      </c>
      <c r="C438" s="575">
        <v>605</v>
      </c>
      <c r="D438" s="575"/>
      <c r="E438" s="575"/>
      <c r="F438" s="576"/>
      <c r="G438" s="576"/>
      <c r="H438" s="2228">
        <f>SUM(I438:L438)</f>
        <v>0</v>
      </c>
      <c r="I438" s="2229">
        <f t="shared" si="75"/>
        <v>0</v>
      </c>
      <c r="J438" s="2229">
        <f t="shared" si="75"/>
        <v>0</v>
      </c>
      <c r="K438" s="2229">
        <f t="shared" si="75"/>
        <v>0</v>
      </c>
      <c r="L438" s="2228">
        <f t="shared" si="75"/>
        <v>0</v>
      </c>
      <c r="M438" s="2489"/>
      <c r="N438" s="833"/>
    </row>
    <row r="439" spans="1:14" ht="25.5" customHeight="1" hidden="1">
      <c r="A439" s="310" t="s">
        <v>688</v>
      </c>
      <c r="B439" s="107">
        <v>968</v>
      </c>
      <c r="C439" s="107">
        <v>605</v>
      </c>
      <c r="D439" s="107" t="s">
        <v>689</v>
      </c>
      <c r="E439" s="107"/>
      <c r="F439" s="305"/>
      <c r="G439" s="305"/>
      <c r="H439" s="2192">
        <f t="shared" si="75"/>
        <v>0</v>
      </c>
      <c r="I439" s="2193">
        <f t="shared" si="75"/>
        <v>0</v>
      </c>
      <c r="J439" s="2192">
        <f t="shared" si="75"/>
        <v>0</v>
      </c>
      <c r="K439" s="2193">
        <f t="shared" si="75"/>
        <v>0</v>
      </c>
      <c r="L439" s="2192">
        <f t="shared" si="75"/>
        <v>0</v>
      </c>
      <c r="M439" s="2489"/>
      <c r="N439" s="833"/>
    </row>
    <row r="440" spans="1:14" ht="12.75" hidden="1">
      <c r="A440" s="1078" t="s">
        <v>1002</v>
      </c>
      <c r="B440" s="1085">
        <v>968</v>
      </c>
      <c r="C440" s="1085">
        <v>605</v>
      </c>
      <c r="D440" s="1085" t="s">
        <v>689</v>
      </c>
      <c r="E440" s="1085">
        <v>500</v>
      </c>
      <c r="F440" s="1079">
        <v>244</v>
      </c>
      <c r="G440" s="1079"/>
      <c r="H440" s="2196">
        <f t="shared" si="75"/>
        <v>0</v>
      </c>
      <c r="I440" s="2197">
        <f t="shared" si="75"/>
        <v>0</v>
      </c>
      <c r="J440" s="2196">
        <f t="shared" si="75"/>
        <v>0</v>
      </c>
      <c r="K440" s="2197">
        <f t="shared" si="75"/>
        <v>0</v>
      </c>
      <c r="L440" s="2196">
        <f t="shared" si="75"/>
        <v>0</v>
      </c>
      <c r="M440" s="2489"/>
      <c r="N440" s="833"/>
    </row>
    <row r="441" spans="1:14" ht="12.75" hidden="1">
      <c r="A441" s="288" t="s">
        <v>326</v>
      </c>
      <c r="B441" s="97">
        <v>968</v>
      </c>
      <c r="C441" s="97">
        <v>605</v>
      </c>
      <c r="D441" s="97" t="s">
        <v>689</v>
      </c>
      <c r="E441" s="97">
        <v>500</v>
      </c>
      <c r="F441" s="302">
        <v>244</v>
      </c>
      <c r="G441" s="302">
        <v>200</v>
      </c>
      <c r="H441" s="2201">
        <f t="shared" si="75"/>
        <v>0</v>
      </c>
      <c r="I441" s="2202">
        <f t="shared" si="75"/>
        <v>0</v>
      </c>
      <c r="J441" s="2201">
        <f t="shared" si="75"/>
        <v>0</v>
      </c>
      <c r="K441" s="2202">
        <f t="shared" si="75"/>
        <v>0</v>
      </c>
      <c r="L441" s="2201">
        <f t="shared" si="75"/>
        <v>0</v>
      </c>
      <c r="M441" s="2489"/>
      <c r="N441" s="833"/>
    </row>
    <row r="442" spans="1:14" ht="13.5" hidden="1" thickBot="1">
      <c r="A442" s="561" t="s">
        <v>329</v>
      </c>
      <c r="B442" s="562">
        <v>968</v>
      </c>
      <c r="C442" s="562">
        <v>605</v>
      </c>
      <c r="D442" s="562" t="s">
        <v>689</v>
      </c>
      <c r="E442" s="562">
        <v>500</v>
      </c>
      <c r="F442" s="563">
        <v>244</v>
      </c>
      <c r="G442" s="563">
        <v>226</v>
      </c>
      <c r="H442" s="2205">
        <f aca="true" t="shared" si="76" ref="H442:H451">SUM(I442:L442)</f>
        <v>0</v>
      </c>
      <c r="I442" s="2206">
        <v>0</v>
      </c>
      <c r="J442" s="2205">
        <v>0</v>
      </c>
      <c r="K442" s="2206">
        <v>0</v>
      </c>
      <c r="L442" s="2205">
        <f>15-15</f>
        <v>0</v>
      </c>
      <c r="M442" s="2489"/>
      <c r="N442" s="833"/>
    </row>
    <row r="443" spans="1:14" ht="15.75" customHeight="1" thickBot="1">
      <c r="A443" s="569" t="s">
        <v>236</v>
      </c>
      <c r="B443" s="570">
        <v>968</v>
      </c>
      <c r="C443" s="570">
        <v>700</v>
      </c>
      <c r="D443" s="570"/>
      <c r="E443" s="570"/>
      <c r="F443" s="571"/>
      <c r="G443" s="571"/>
      <c r="H443" s="2247">
        <f t="shared" si="76"/>
        <v>4007.4970000000003</v>
      </c>
      <c r="I443" s="2246">
        <f>I444+I457+I493</f>
        <v>929.59</v>
      </c>
      <c r="J443" s="2246">
        <f>J444+J457+J493</f>
        <v>1858.8400000000001</v>
      </c>
      <c r="K443" s="2246">
        <f>K444+K457+K493</f>
        <v>1141.77</v>
      </c>
      <c r="L443" s="2247">
        <f>L444+L457+L493</f>
        <v>77.297</v>
      </c>
      <c r="M443" s="2489">
        <v>4007.5</v>
      </c>
      <c r="N443" s="833"/>
    </row>
    <row r="444" spans="1:14" ht="15.75" customHeight="1">
      <c r="A444" s="574" t="s">
        <v>992</v>
      </c>
      <c r="B444" s="566">
        <v>968</v>
      </c>
      <c r="C444" s="566">
        <v>705</v>
      </c>
      <c r="D444" s="566"/>
      <c r="E444" s="566"/>
      <c r="F444" s="567"/>
      <c r="G444" s="567"/>
      <c r="H444" s="2244">
        <f t="shared" si="76"/>
        <v>164.40000000000003</v>
      </c>
      <c r="I444" s="2244">
        <f aca="true" t="shared" si="77" ref="I444:L445">I445</f>
        <v>56.6</v>
      </c>
      <c r="J444" s="2244">
        <f t="shared" si="77"/>
        <v>36.00000000000001</v>
      </c>
      <c r="K444" s="2244">
        <f t="shared" si="77"/>
        <v>71.80000000000001</v>
      </c>
      <c r="L444" s="2244">
        <f t="shared" si="77"/>
        <v>0</v>
      </c>
      <c r="M444" s="2489"/>
      <c r="N444" s="833"/>
    </row>
    <row r="445" spans="1:14" ht="15.75" customHeight="1">
      <c r="A445" s="310" t="s">
        <v>1025</v>
      </c>
      <c r="B445" s="107">
        <v>968</v>
      </c>
      <c r="C445" s="107">
        <v>705</v>
      </c>
      <c r="D445" s="107" t="s">
        <v>999</v>
      </c>
      <c r="E445" s="107"/>
      <c r="F445" s="305"/>
      <c r="G445" s="305"/>
      <c r="H445" s="650">
        <f t="shared" si="76"/>
        <v>164.40000000000003</v>
      </c>
      <c r="I445" s="650">
        <f t="shared" si="77"/>
        <v>56.6</v>
      </c>
      <c r="J445" s="650">
        <f t="shared" si="77"/>
        <v>36.00000000000001</v>
      </c>
      <c r="K445" s="650">
        <f t="shared" si="77"/>
        <v>71.80000000000001</v>
      </c>
      <c r="L445" s="650">
        <f t="shared" si="77"/>
        <v>0</v>
      </c>
      <c r="M445" s="2489">
        <v>164.4</v>
      </c>
      <c r="N445" s="833"/>
    </row>
    <row r="446" spans="1:14" ht="38.25" customHeight="1">
      <c r="A446" s="310" t="s">
        <v>1287</v>
      </c>
      <c r="B446" s="107">
        <v>968</v>
      </c>
      <c r="C446" s="107">
        <v>705</v>
      </c>
      <c r="D446" s="107" t="s">
        <v>1026</v>
      </c>
      <c r="E446" s="107"/>
      <c r="F446" s="305"/>
      <c r="G446" s="305"/>
      <c r="H446" s="650">
        <f t="shared" si="76"/>
        <v>164.40000000000003</v>
      </c>
      <c r="I446" s="777">
        <f>I447+I452</f>
        <v>56.6</v>
      </c>
      <c r="J446" s="777">
        <f>J447+J452</f>
        <v>36.00000000000001</v>
      </c>
      <c r="K446" s="777">
        <f>K447+K452</f>
        <v>71.80000000000001</v>
      </c>
      <c r="L446" s="650">
        <f>L447+L452</f>
        <v>0</v>
      </c>
      <c r="M446" s="2489"/>
      <c r="N446" s="833"/>
    </row>
    <row r="447" spans="1:14" ht="37.5" customHeight="1">
      <c r="A447" s="310" t="s">
        <v>1288</v>
      </c>
      <c r="B447" s="107">
        <v>968</v>
      </c>
      <c r="C447" s="107">
        <v>705</v>
      </c>
      <c r="D447" s="107" t="s">
        <v>1001</v>
      </c>
      <c r="E447" s="107"/>
      <c r="F447" s="305"/>
      <c r="G447" s="305"/>
      <c r="H447" s="650">
        <f t="shared" si="76"/>
        <v>0</v>
      </c>
      <c r="I447" s="777">
        <f aca="true" t="shared" si="78" ref="I447:L448">I448</f>
        <v>0</v>
      </c>
      <c r="J447" s="777">
        <f t="shared" si="78"/>
        <v>0</v>
      </c>
      <c r="K447" s="777">
        <f t="shared" si="78"/>
        <v>0</v>
      </c>
      <c r="L447" s="777">
        <f t="shared" si="78"/>
        <v>0</v>
      </c>
      <c r="M447" s="2489"/>
      <c r="N447" s="833"/>
    </row>
    <row r="448" spans="1:14" ht="17.25" customHeight="1">
      <c r="A448" s="310" t="s">
        <v>1158</v>
      </c>
      <c r="B448" s="1085">
        <v>968</v>
      </c>
      <c r="C448" s="1085">
        <v>705</v>
      </c>
      <c r="D448" s="1085" t="s">
        <v>1001</v>
      </c>
      <c r="E448" s="1085">
        <v>500</v>
      </c>
      <c r="F448" s="1079">
        <v>200</v>
      </c>
      <c r="G448" s="305"/>
      <c r="H448" s="650">
        <f t="shared" si="76"/>
        <v>0</v>
      </c>
      <c r="I448" s="777">
        <f t="shared" si="78"/>
        <v>0</v>
      </c>
      <c r="J448" s="777">
        <f t="shared" si="78"/>
        <v>0</v>
      </c>
      <c r="K448" s="777">
        <f t="shared" si="78"/>
        <v>0</v>
      </c>
      <c r="L448" s="777">
        <f t="shared" si="78"/>
        <v>0</v>
      </c>
      <c r="M448" s="2489"/>
      <c r="N448" s="833"/>
    </row>
    <row r="449" spans="1:14" ht="15.75" customHeight="1">
      <c r="A449" s="1078" t="s">
        <v>1002</v>
      </c>
      <c r="B449" s="1085">
        <v>968</v>
      </c>
      <c r="C449" s="1085">
        <v>705</v>
      </c>
      <c r="D449" s="1085" t="s">
        <v>1001</v>
      </c>
      <c r="E449" s="1085">
        <v>500</v>
      </c>
      <c r="F449" s="1079">
        <v>244</v>
      </c>
      <c r="G449" s="1079"/>
      <c r="H449" s="1086">
        <f t="shared" si="76"/>
        <v>0</v>
      </c>
      <c r="I449" s="1086">
        <f aca="true" t="shared" si="79" ref="I449:L450">I450</f>
        <v>0</v>
      </c>
      <c r="J449" s="1086">
        <f t="shared" si="79"/>
        <v>0</v>
      </c>
      <c r="K449" s="1086">
        <f t="shared" si="79"/>
        <v>0</v>
      </c>
      <c r="L449" s="1086">
        <f t="shared" si="79"/>
        <v>0</v>
      </c>
      <c r="M449" s="2489"/>
      <c r="N449" s="833"/>
    </row>
    <row r="450" spans="1:14" ht="15.75" customHeight="1">
      <c r="A450" s="288" t="s">
        <v>326</v>
      </c>
      <c r="B450" s="97">
        <v>968</v>
      </c>
      <c r="C450" s="97">
        <v>705</v>
      </c>
      <c r="D450" s="97" t="s">
        <v>1001</v>
      </c>
      <c r="E450" s="97">
        <v>500</v>
      </c>
      <c r="F450" s="302">
        <v>244</v>
      </c>
      <c r="G450" s="302">
        <v>200</v>
      </c>
      <c r="H450" s="1534">
        <f t="shared" si="76"/>
        <v>0</v>
      </c>
      <c r="I450" s="1534">
        <f t="shared" si="79"/>
        <v>0</v>
      </c>
      <c r="J450" s="1534">
        <f t="shared" si="79"/>
        <v>0</v>
      </c>
      <c r="K450" s="1534">
        <f t="shared" si="79"/>
        <v>0</v>
      </c>
      <c r="L450" s="1534">
        <f t="shared" si="79"/>
        <v>0</v>
      </c>
      <c r="M450" s="2489"/>
      <c r="N450" s="833"/>
    </row>
    <row r="451" spans="1:14" ht="15.75" customHeight="1">
      <c r="A451" s="291" t="s">
        <v>329</v>
      </c>
      <c r="B451" s="298">
        <v>968</v>
      </c>
      <c r="C451" s="298">
        <v>705</v>
      </c>
      <c r="D451" s="298" t="s">
        <v>1001</v>
      </c>
      <c r="E451" s="298">
        <v>500</v>
      </c>
      <c r="F451" s="304">
        <v>244</v>
      </c>
      <c r="G451" s="304">
        <v>226</v>
      </c>
      <c r="H451" s="1532">
        <f t="shared" si="76"/>
        <v>0</v>
      </c>
      <c r="I451" s="1533">
        <f>17-17</f>
        <v>0</v>
      </c>
      <c r="J451" s="1532">
        <f>17-17</f>
        <v>0</v>
      </c>
      <c r="K451" s="1533">
        <f>17-17</f>
        <v>0</v>
      </c>
      <c r="L451" s="1532">
        <f>17-17</f>
        <v>0</v>
      </c>
      <c r="M451" s="2489"/>
      <c r="N451" s="833"/>
    </row>
    <row r="452" spans="1:14" ht="25.5" customHeight="1">
      <c r="A452" s="310" t="s">
        <v>1289</v>
      </c>
      <c r="B452" s="107">
        <v>968</v>
      </c>
      <c r="C452" s="107">
        <v>705</v>
      </c>
      <c r="D452" s="107" t="s">
        <v>1024</v>
      </c>
      <c r="E452" s="107"/>
      <c r="F452" s="305"/>
      <c r="G452" s="305"/>
      <c r="H452" s="650">
        <f>H454</f>
        <v>164.40000000000003</v>
      </c>
      <c r="I452" s="777">
        <f aca="true" t="shared" si="80" ref="I452:L453">I453</f>
        <v>56.6</v>
      </c>
      <c r="J452" s="777">
        <f t="shared" si="80"/>
        <v>36.00000000000001</v>
      </c>
      <c r="K452" s="777">
        <f t="shared" si="80"/>
        <v>71.80000000000001</v>
      </c>
      <c r="L452" s="650">
        <f t="shared" si="80"/>
        <v>0</v>
      </c>
      <c r="M452" s="2489"/>
      <c r="N452" s="833"/>
    </row>
    <row r="453" spans="1:14" ht="15" customHeight="1">
      <c r="A453" s="310" t="s">
        <v>1158</v>
      </c>
      <c r="B453" s="1085">
        <v>968</v>
      </c>
      <c r="C453" s="1085">
        <v>705</v>
      </c>
      <c r="D453" s="1085" t="s">
        <v>1024</v>
      </c>
      <c r="E453" s="1085">
        <v>500</v>
      </c>
      <c r="F453" s="1079">
        <v>200</v>
      </c>
      <c r="G453" s="305"/>
      <c r="H453" s="650">
        <f>SUM(I453:L453)</f>
        <v>164.40000000000003</v>
      </c>
      <c r="I453" s="777">
        <f t="shared" si="80"/>
        <v>56.6</v>
      </c>
      <c r="J453" s="777">
        <f t="shared" si="80"/>
        <v>36.00000000000001</v>
      </c>
      <c r="K453" s="777">
        <f t="shared" si="80"/>
        <v>71.80000000000001</v>
      </c>
      <c r="L453" s="650">
        <f t="shared" si="80"/>
        <v>0</v>
      </c>
      <c r="M453" s="2489"/>
      <c r="N453" s="833"/>
    </row>
    <row r="454" spans="1:14" ht="15.75" customHeight="1">
      <c r="A454" s="1078" t="s">
        <v>1002</v>
      </c>
      <c r="B454" s="1085">
        <v>968</v>
      </c>
      <c r="C454" s="1085">
        <v>705</v>
      </c>
      <c r="D454" s="1085" t="s">
        <v>1024</v>
      </c>
      <c r="E454" s="1085">
        <v>500</v>
      </c>
      <c r="F454" s="1079">
        <v>244</v>
      </c>
      <c r="G454" s="1079"/>
      <c r="H454" s="1086">
        <f>SUM(I454:L454)</f>
        <v>164.40000000000003</v>
      </c>
      <c r="I454" s="1086">
        <f aca="true" t="shared" si="81" ref="I454:L455">I455</f>
        <v>56.6</v>
      </c>
      <c r="J454" s="1086">
        <f t="shared" si="81"/>
        <v>36.00000000000001</v>
      </c>
      <c r="K454" s="1086">
        <f t="shared" si="81"/>
        <v>71.80000000000001</v>
      </c>
      <c r="L454" s="1086">
        <f t="shared" si="81"/>
        <v>0</v>
      </c>
      <c r="M454" s="2489"/>
      <c r="N454" s="833"/>
    </row>
    <row r="455" spans="1:14" ht="15.75" customHeight="1">
      <c r="A455" s="288" t="s">
        <v>326</v>
      </c>
      <c r="B455" s="97">
        <v>968</v>
      </c>
      <c r="C455" s="97">
        <v>705</v>
      </c>
      <c r="D455" s="97" t="s">
        <v>1024</v>
      </c>
      <c r="E455" s="97">
        <v>500</v>
      </c>
      <c r="F455" s="302">
        <v>244</v>
      </c>
      <c r="G455" s="302">
        <v>200</v>
      </c>
      <c r="H455" s="1534">
        <f>SUM(I455:L455)</f>
        <v>164.40000000000003</v>
      </c>
      <c r="I455" s="1534">
        <f t="shared" si="81"/>
        <v>56.6</v>
      </c>
      <c r="J455" s="1534">
        <f t="shared" si="81"/>
        <v>36.00000000000001</v>
      </c>
      <c r="K455" s="1534">
        <f t="shared" si="81"/>
        <v>71.80000000000001</v>
      </c>
      <c r="L455" s="1534">
        <f t="shared" si="81"/>
        <v>0</v>
      </c>
      <c r="M455" s="2489"/>
      <c r="N455" s="833"/>
    </row>
    <row r="456" spans="1:14" ht="15.75" customHeight="1" thickBot="1">
      <c r="A456" s="851" t="s">
        <v>329</v>
      </c>
      <c r="B456" s="852">
        <v>968</v>
      </c>
      <c r="C456" s="852">
        <v>705</v>
      </c>
      <c r="D456" s="852" t="s">
        <v>1024</v>
      </c>
      <c r="E456" s="852">
        <v>500</v>
      </c>
      <c r="F456" s="853">
        <v>244</v>
      </c>
      <c r="G456" s="853">
        <v>226</v>
      </c>
      <c r="H456" s="2245">
        <f>SUM(I456:L456)</f>
        <v>164.40000000000003</v>
      </c>
      <c r="I456" s="2240">
        <f>68-11.4</f>
        <v>56.6</v>
      </c>
      <c r="J456" s="2245">
        <f>85+11.4-60.4</f>
        <v>36.00000000000001</v>
      </c>
      <c r="K456" s="2240">
        <f>85+60.4-73.6</f>
        <v>71.80000000000001</v>
      </c>
      <c r="L456" s="2245">
        <f>73.6-73.6</f>
        <v>0</v>
      </c>
      <c r="M456" s="2489">
        <v>164.4</v>
      </c>
      <c r="N456" s="833"/>
    </row>
    <row r="457" spans="1:14" ht="16.5" customHeight="1">
      <c r="A457" s="574" t="s">
        <v>357</v>
      </c>
      <c r="B457" s="566">
        <v>968</v>
      </c>
      <c r="C457" s="566">
        <v>707</v>
      </c>
      <c r="D457" s="566"/>
      <c r="E457" s="566"/>
      <c r="F457" s="567"/>
      <c r="G457" s="567"/>
      <c r="H457" s="2244">
        <f>SUM(I457:L457)</f>
        <v>3725.087</v>
      </c>
      <c r="I457" s="2243">
        <f>I458+I464+I469+I477+I486</f>
        <v>872.99</v>
      </c>
      <c r="J457" s="2243">
        <f>J458+J464+J469+J477+J486</f>
        <v>1739.8300000000002</v>
      </c>
      <c r="K457" s="2243">
        <f>K458+K464+K469+K477+K486</f>
        <v>1034.97</v>
      </c>
      <c r="L457" s="2243">
        <f>L458+L464+L469+L477+L486</f>
        <v>77.297</v>
      </c>
      <c r="M457" s="2489">
        <v>3725.1</v>
      </c>
      <c r="N457" s="833"/>
    </row>
    <row r="458" spans="1:14" ht="26.25" customHeight="1">
      <c r="A458" s="310" t="str">
        <f>Пцс!B48</f>
        <v>Ведомственная целевая программа по участию в реализации мер по профилактике дорожно-транспортного травматизма на территории МО </v>
      </c>
      <c r="B458" s="107">
        <v>968</v>
      </c>
      <c r="C458" s="107">
        <v>707</v>
      </c>
      <c r="D458" s="107" t="str">
        <f>Пцс!C48</f>
        <v>795 01 00</v>
      </c>
      <c r="E458" s="107"/>
      <c r="F458" s="305"/>
      <c r="G458" s="305"/>
      <c r="H458" s="650">
        <f>H460</f>
        <v>784.48</v>
      </c>
      <c r="I458" s="650">
        <f aca="true" t="shared" si="82" ref="I458:L460">I459</f>
        <v>10</v>
      </c>
      <c r="J458" s="650">
        <f t="shared" si="82"/>
        <v>248</v>
      </c>
      <c r="K458" s="650">
        <f t="shared" si="82"/>
        <v>526.48</v>
      </c>
      <c r="L458" s="650">
        <f t="shared" si="82"/>
        <v>0</v>
      </c>
      <c r="M458" s="2489"/>
      <c r="N458" s="833"/>
    </row>
    <row r="459" spans="1:14" ht="16.5" customHeight="1">
      <c r="A459" s="310" t="s">
        <v>1158</v>
      </c>
      <c r="B459" s="1085">
        <v>968</v>
      </c>
      <c r="C459" s="1085">
        <v>707</v>
      </c>
      <c r="D459" s="1085" t="str">
        <f>D460</f>
        <v>795 01 00</v>
      </c>
      <c r="E459" s="1085">
        <v>500</v>
      </c>
      <c r="F459" s="1079">
        <v>200</v>
      </c>
      <c r="G459" s="305"/>
      <c r="H459" s="650">
        <f aca="true" t="shared" si="83" ref="H459:H465">SUM(I459:L459)</f>
        <v>784.48</v>
      </c>
      <c r="I459" s="777">
        <f t="shared" si="82"/>
        <v>10</v>
      </c>
      <c r="J459" s="777">
        <f t="shared" si="82"/>
        <v>248</v>
      </c>
      <c r="K459" s="777">
        <f t="shared" si="82"/>
        <v>526.48</v>
      </c>
      <c r="L459" s="650">
        <f t="shared" si="82"/>
        <v>0</v>
      </c>
      <c r="M459" s="2489"/>
      <c r="N459" s="833"/>
    </row>
    <row r="460" spans="1:14" ht="16.5" customHeight="1">
      <c r="A460" s="1078" t="s">
        <v>1002</v>
      </c>
      <c r="B460" s="1085">
        <v>968</v>
      </c>
      <c r="C460" s="1085">
        <v>707</v>
      </c>
      <c r="D460" s="1085" t="str">
        <f>D461</f>
        <v>795 01 00</v>
      </c>
      <c r="E460" s="1085">
        <v>500</v>
      </c>
      <c r="F460" s="1079">
        <v>244</v>
      </c>
      <c r="G460" s="1079"/>
      <c r="H460" s="1086">
        <f t="shared" si="83"/>
        <v>784.48</v>
      </c>
      <c r="I460" s="1087">
        <f>I461</f>
        <v>10</v>
      </c>
      <c r="J460" s="1087">
        <f t="shared" si="82"/>
        <v>248</v>
      </c>
      <c r="K460" s="1087">
        <f t="shared" si="82"/>
        <v>526.48</v>
      </c>
      <c r="L460" s="1087">
        <f t="shared" si="82"/>
        <v>0</v>
      </c>
      <c r="M460" s="2489"/>
      <c r="N460" s="833"/>
    </row>
    <row r="461" spans="1:14" ht="16.5" customHeight="1">
      <c r="A461" s="288" t="s">
        <v>326</v>
      </c>
      <c r="B461" s="97">
        <v>968</v>
      </c>
      <c r="C461" s="97">
        <v>707</v>
      </c>
      <c r="D461" s="97" t="str">
        <f>D462</f>
        <v>795 01 00</v>
      </c>
      <c r="E461" s="97">
        <v>500</v>
      </c>
      <c r="F461" s="302">
        <v>244</v>
      </c>
      <c r="G461" s="302">
        <v>200</v>
      </c>
      <c r="H461" s="1534">
        <f t="shared" si="83"/>
        <v>784.48</v>
      </c>
      <c r="I461" s="1534">
        <f>I462+I463</f>
        <v>10</v>
      </c>
      <c r="J461" s="1534">
        <f>J462+J463</f>
        <v>248</v>
      </c>
      <c r="K461" s="1534">
        <f>K462+K463</f>
        <v>526.48</v>
      </c>
      <c r="L461" s="1534">
        <f>L462+L463</f>
        <v>0</v>
      </c>
      <c r="M461" s="2489">
        <v>784.5</v>
      </c>
      <c r="N461" s="833"/>
    </row>
    <row r="462" spans="1:14" ht="16.5" customHeight="1" thickBot="1">
      <c r="A462" s="561" t="s">
        <v>329</v>
      </c>
      <c r="B462" s="562">
        <v>968</v>
      </c>
      <c r="C462" s="562">
        <v>707</v>
      </c>
      <c r="D462" s="562" t="str">
        <f>D463</f>
        <v>795 01 00</v>
      </c>
      <c r="E462" s="562">
        <v>500</v>
      </c>
      <c r="F462" s="563">
        <v>244</v>
      </c>
      <c r="G462" s="563">
        <v>226</v>
      </c>
      <c r="H462" s="2181">
        <f t="shared" si="83"/>
        <v>506.5</v>
      </c>
      <c r="I462" s="2182">
        <f>30-20</f>
        <v>10</v>
      </c>
      <c r="J462" s="2181">
        <f>250+150-152</f>
        <v>248</v>
      </c>
      <c r="K462" s="2240">
        <f>140+140+7.5-39</f>
        <v>248.5</v>
      </c>
      <c r="L462" s="2181">
        <f>39-39</f>
        <v>0</v>
      </c>
      <c r="M462" s="2489">
        <v>506.5</v>
      </c>
      <c r="N462" s="833"/>
    </row>
    <row r="463" spans="1:14" ht="16.5" customHeight="1">
      <c r="A463" s="290" t="s">
        <v>224</v>
      </c>
      <c r="B463" s="1061">
        <v>968</v>
      </c>
      <c r="C463" s="1061">
        <v>707</v>
      </c>
      <c r="D463" s="1061" t="str">
        <f>Пцс!C48</f>
        <v>795 01 00</v>
      </c>
      <c r="E463" s="1061">
        <v>500</v>
      </c>
      <c r="F463" s="1062">
        <v>244</v>
      </c>
      <c r="G463" s="1062">
        <v>290</v>
      </c>
      <c r="H463" s="2181">
        <f t="shared" si="83"/>
        <v>277.98</v>
      </c>
      <c r="I463" s="2182">
        <v>0</v>
      </c>
      <c r="J463" s="2181">
        <v>0</v>
      </c>
      <c r="K463" s="2182">
        <f>327.5-7.5-42.02</f>
        <v>277.98</v>
      </c>
      <c r="L463" s="2181">
        <f>42.02-42.02</f>
        <v>0</v>
      </c>
      <c r="M463" s="2489">
        <v>278</v>
      </c>
      <c r="N463" s="833"/>
    </row>
    <row r="464" spans="1:14" ht="36.75" customHeight="1">
      <c r="A464" s="310" t="str">
        <f>Пцс!B51</f>
        <v>Ведомственная 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 </v>
      </c>
      <c r="B464" s="107">
        <v>968</v>
      </c>
      <c r="C464" s="107">
        <v>707</v>
      </c>
      <c r="D464" s="107" t="str">
        <f>Пцс!C51</f>
        <v>795 04 00</v>
      </c>
      <c r="E464" s="107"/>
      <c r="F464" s="305"/>
      <c r="G464" s="305"/>
      <c r="H464" s="650">
        <f t="shared" si="83"/>
        <v>140.642</v>
      </c>
      <c r="I464" s="777">
        <f aca="true" t="shared" si="84" ref="I464:L465">I465</f>
        <v>10.99</v>
      </c>
      <c r="J464" s="777">
        <f t="shared" si="84"/>
        <v>100.99000000000001</v>
      </c>
      <c r="K464" s="777">
        <f t="shared" si="84"/>
        <v>10.99</v>
      </c>
      <c r="L464" s="650">
        <f t="shared" si="84"/>
        <v>17.671999999999997</v>
      </c>
      <c r="M464" s="2489"/>
      <c r="N464" s="833"/>
    </row>
    <row r="465" spans="1:14" ht="16.5" customHeight="1">
      <c r="A465" s="310" t="s">
        <v>1158</v>
      </c>
      <c r="B465" s="1085">
        <v>968</v>
      </c>
      <c r="C465" s="1085">
        <v>707</v>
      </c>
      <c r="D465" s="1085" t="str">
        <f>D466</f>
        <v>795 04 00</v>
      </c>
      <c r="E465" s="1085">
        <v>500</v>
      </c>
      <c r="F465" s="1079">
        <v>200</v>
      </c>
      <c r="G465" s="305"/>
      <c r="H465" s="650">
        <f t="shared" si="83"/>
        <v>140.642</v>
      </c>
      <c r="I465" s="777">
        <f t="shared" si="84"/>
        <v>10.99</v>
      </c>
      <c r="J465" s="777">
        <f t="shared" si="84"/>
        <v>100.99000000000001</v>
      </c>
      <c r="K465" s="777">
        <f t="shared" si="84"/>
        <v>10.99</v>
      </c>
      <c r="L465" s="650">
        <f t="shared" si="84"/>
        <v>17.671999999999997</v>
      </c>
      <c r="M465" s="2489"/>
      <c r="N465" s="833"/>
    </row>
    <row r="466" spans="1:14" ht="16.5" customHeight="1">
      <c r="A466" s="1078" t="s">
        <v>1002</v>
      </c>
      <c r="B466" s="1085">
        <v>968</v>
      </c>
      <c r="C466" s="1085">
        <v>707</v>
      </c>
      <c r="D466" s="1085" t="str">
        <f>D467</f>
        <v>795 04 00</v>
      </c>
      <c r="E466" s="1085">
        <v>500</v>
      </c>
      <c r="F466" s="1079">
        <v>244</v>
      </c>
      <c r="G466" s="1079"/>
      <c r="H466" s="1086">
        <f>H467</f>
        <v>140.642</v>
      </c>
      <c r="I466" s="1087">
        <f>I467</f>
        <v>10.99</v>
      </c>
      <c r="J466" s="1087">
        <f>J467</f>
        <v>100.99000000000001</v>
      </c>
      <c r="K466" s="1087">
        <f>K467</f>
        <v>10.99</v>
      </c>
      <c r="L466" s="1086">
        <f>L467</f>
        <v>17.671999999999997</v>
      </c>
      <c r="M466" s="2489"/>
      <c r="N466" s="833"/>
    </row>
    <row r="467" spans="1:14" ht="16.5" customHeight="1">
      <c r="A467" s="288" t="s">
        <v>326</v>
      </c>
      <c r="B467" s="97">
        <v>968</v>
      </c>
      <c r="C467" s="97">
        <v>707</v>
      </c>
      <c r="D467" s="97" t="str">
        <f>D468</f>
        <v>795 04 00</v>
      </c>
      <c r="E467" s="97">
        <v>500</v>
      </c>
      <c r="F467" s="302">
        <v>244</v>
      </c>
      <c r="G467" s="302">
        <v>200</v>
      </c>
      <c r="H467" s="1534">
        <f>SUM(I467:L467)</f>
        <v>140.642</v>
      </c>
      <c r="I467" s="1534">
        <f>I468</f>
        <v>10.99</v>
      </c>
      <c r="J467" s="1534">
        <f>J468</f>
        <v>100.99000000000001</v>
      </c>
      <c r="K467" s="1534">
        <f>K468</f>
        <v>10.99</v>
      </c>
      <c r="L467" s="1534">
        <f>L468</f>
        <v>17.671999999999997</v>
      </c>
      <c r="M467" s="2489"/>
      <c r="N467" s="833"/>
    </row>
    <row r="468" spans="1:14" ht="16.5" customHeight="1">
      <c r="A468" s="561" t="s">
        <v>329</v>
      </c>
      <c r="B468" s="298">
        <v>968</v>
      </c>
      <c r="C468" s="298">
        <v>707</v>
      </c>
      <c r="D468" s="298" t="str">
        <f>D464</f>
        <v>795 04 00</v>
      </c>
      <c r="E468" s="298">
        <v>500</v>
      </c>
      <c r="F468" s="298">
        <v>244</v>
      </c>
      <c r="G468" s="298">
        <v>226</v>
      </c>
      <c r="H468" s="2165">
        <f>SUM(I468:L468)</f>
        <v>140.642</v>
      </c>
      <c r="I468" s="2165">
        <v>10.99</v>
      </c>
      <c r="J468" s="2165">
        <f>95+55.99-10.99-39.01</f>
        <v>100.99000000000001</v>
      </c>
      <c r="K468" s="2165">
        <f>15-4.01</f>
        <v>10.99</v>
      </c>
      <c r="L468" s="2237">
        <f>19.01+39.01+4.01-44.358</f>
        <v>17.671999999999997</v>
      </c>
      <c r="M468" s="2489">
        <v>140.6</v>
      </c>
      <c r="N468" s="833"/>
    </row>
    <row r="469" spans="1:14" ht="24" customHeight="1">
      <c r="A469" s="310" t="s">
        <v>1374</v>
      </c>
      <c r="B469" s="107">
        <v>968</v>
      </c>
      <c r="C469" s="107">
        <v>707</v>
      </c>
      <c r="D469" s="107" t="s">
        <v>1265</v>
      </c>
      <c r="E469" s="107"/>
      <c r="F469" s="305"/>
      <c r="G469" s="305"/>
      <c r="H469" s="650">
        <f>H471</f>
        <v>1103.7</v>
      </c>
      <c r="I469" s="777">
        <f aca="true" t="shared" si="85" ref="I469:L470">I470</f>
        <v>60</v>
      </c>
      <c r="J469" s="777">
        <f t="shared" si="85"/>
        <v>546.2</v>
      </c>
      <c r="K469" s="777">
        <f t="shared" si="85"/>
        <v>497.50000000000006</v>
      </c>
      <c r="L469" s="650">
        <f t="shared" si="85"/>
        <v>0</v>
      </c>
      <c r="M469" s="2489"/>
      <c r="N469" s="833"/>
    </row>
    <row r="470" spans="1:14" ht="17.25" customHeight="1">
      <c r="A470" s="310" t="s">
        <v>1158</v>
      </c>
      <c r="B470" s="1085">
        <v>968</v>
      </c>
      <c r="C470" s="1085">
        <v>707</v>
      </c>
      <c r="D470" s="1085" t="s">
        <v>1265</v>
      </c>
      <c r="E470" s="1085">
        <v>500</v>
      </c>
      <c r="F470" s="1079">
        <v>200</v>
      </c>
      <c r="G470" s="305"/>
      <c r="H470" s="650">
        <f>SUM(I470:L470)</f>
        <v>1103.7</v>
      </c>
      <c r="I470" s="777">
        <f t="shared" si="85"/>
        <v>60</v>
      </c>
      <c r="J470" s="777">
        <f t="shared" si="85"/>
        <v>546.2</v>
      </c>
      <c r="K470" s="777">
        <f t="shared" si="85"/>
        <v>497.50000000000006</v>
      </c>
      <c r="L470" s="650">
        <f t="shared" si="85"/>
        <v>0</v>
      </c>
      <c r="M470" s="2489"/>
      <c r="N470" s="833"/>
    </row>
    <row r="471" spans="1:14" ht="12.75">
      <c r="A471" s="1078" t="s">
        <v>1002</v>
      </c>
      <c r="B471" s="1085">
        <v>968</v>
      </c>
      <c r="C471" s="1085">
        <v>707</v>
      </c>
      <c r="D471" s="1085" t="s">
        <v>1265</v>
      </c>
      <c r="E471" s="1085">
        <v>500</v>
      </c>
      <c r="F471" s="1079">
        <v>244</v>
      </c>
      <c r="G471" s="1079"/>
      <c r="H471" s="1086">
        <f>H472+H475</f>
        <v>1103.7</v>
      </c>
      <c r="I471" s="1086">
        <f>I472+I475</f>
        <v>60</v>
      </c>
      <c r="J471" s="1086">
        <f>J472+J475</f>
        <v>546.2</v>
      </c>
      <c r="K471" s="1086">
        <f>K472+K475</f>
        <v>497.50000000000006</v>
      </c>
      <c r="L471" s="1086">
        <f>L472+L475</f>
        <v>0</v>
      </c>
      <c r="M471" s="2489"/>
      <c r="N471" s="833"/>
    </row>
    <row r="472" spans="1:14" ht="12.75">
      <c r="A472" s="288" t="s">
        <v>326</v>
      </c>
      <c r="B472" s="97">
        <v>968</v>
      </c>
      <c r="C472" s="97">
        <v>707</v>
      </c>
      <c r="D472" s="97" t="s">
        <v>1265</v>
      </c>
      <c r="E472" s="97">
        <v>500</v>
      </c>
      <c r="F472" s="302">
        <v>244</v>
      </c>
      <c r="G472" s="302">
        <v>200</v>
      </c>
      <c r="H472" s="1534">
        <f>H473+H474</f>
        <v>1103.7</v>
      </c>
      <c r="I472" s="1534">
        <f>I473+I474</f>
        <v>60</v>
      </c>
      <c r="J472" s="1534">
        <f>J473+J474</f>
        <v>546.2</v>
      </c>
      <c r="K472" s="1535">
        <f>K473+K474</f>
        <v>497.50000000000006</v>
      </c>
      <c r="L472" s="1534">
        <f>L473+L474</f>
        <v>0</v>
      </c>
      <c r="M472" s="2489">
        <v>1103.7</v>
      </c>
      <c r="N472" s="833"/>
    </row>
    <row r="473" spans="1:14" ht="13.5" customHeight="1">
      <c r="A473" s="291" t="s">
        <v>329</v>
      </c>
      <c r="B473" s="298">
        <v>968</v>
      </c>
      <c r="C473" s="298">
        <v>707</v>
      </c>
      <c r="D473" s="298" t="s">
        <v>1265</v>
      </c>
      <c r="E473" s="298">
        <v>500</v>
      </c>
      <c r="F473" s="304">
        <v>244</v>
      </c>
      <c r="G473" s="304">
        <v>226</v>
      </c>
      <c r="H473" s="1532">
        <f>SUM(I473:L473)</f>
        <v>1043.7</v>
      </c>
      <c r="I473" s="1533">
        <v>0</v>
      </c>
      <c r="J473" s="1532">
        <f>686.25-140.05</f>
        <v>546.2</v>
      </c>
      <c r="K473" s="1533">
        <f>799.2-299.2-2.5</f>
        <v>497.50000000000006</v>
      </c>
      <c r="L473" s="1532">
        <v>0</v>
      </c>
      <c r="M473" s="2489">
        <v>1043.7</v>
      </c>
      <c r="N473" s="833"/>
    </row>
    <row r="474" spans="1:14" ht="13.5" customHeight="1">
      <c r="A474" s="290" t="s">
        <v>224</v>
      </c>
      <c r="B474" s="297">
        <v>968</v>
      </c>
      <c r="C474" s="297">
        <v>707</v>
      </c>
      <c r="D474" s="297" t="s">
        <v>1265</v>
      </c>
      <c r="E474" s="297">
        <v>500</v>
      </c>
      <c r="F474" s="303">
        <v>244</v>
      </c>
      <c r="G474" s="303">
        <v>290</v>
      </c>
      <c r="H474" s="2249">
        <f>SUM(I474:L474)</f>
        <v>60</v>
      </c>
      <c r="I474" s="2248">
        <v>60</v>
      </c>
      <c r="J474" s="2249">
        <v>0</v>
      </c>
      <c r="K474" s="2248">
        <v>0</v>
      </c>
      <c r="L474" s="2249">
        <v>0</v>
      </c>
      <c r="M474" s="2489">
        <v>60</v>
      </c>
      <c r="N474" s="833"/>
    </row>
    <row r="475" spans="1:14" ht="13.5" customHeight="1" hidden="1">
      <c r="A475" s="288" t="s">
        <v>330</v>
      </c>
      <c r="B475" s="97">
        <v>968</v>
      </c>
      <c r="C475" s="97">
        <v>707</v>
      </c>
      <c r="D475" s="97" t="s">
        <v>1265</v>
      </c>
      <c r="E475" s="97">
        <v>500</v>
      </c>
      <c r="F475" s="302">
        <v>244</v>
      </c>
      <c r="G475" s="577">
        <v>300</v>
      </c>
      <c r="H475" s="2199">
        <f>H476</f>
        <v>0</v>
      </c>
      <c r="I475" s="2199">
        <f>I476</f>
        <v>0</v>
      </c>
      <c r="J475" s="2199">
        <f>J476</f>
        <v>0</v>
      </c>
      <c r="K475" s="2199">
        <f>K476</f>
        <v>0</v>
      </c>
      <c r="L475" s="2199">
        <f>L476</f>
        <v>0</v>
      </c>
      <c r="M475" s="2489"/>
      <c r="N475" s="833"/>
    </row>
    <row r="476" spans="1:14" ht="13.5" customHeight="1" hidden="1">
      <c r="A476" s="291" t="s">
        <v>225</v>
      </c>
      <c r="B476" s="298">
        <v>968</v>
      </c>
      <c r="C476" s="298">
        <v>707</v>
      </c>
      <c r="D476" s="298" t="s">
        <v>1265</v>
      </c>
      <c r="E476" s="298">
        <v>500</v>
      </c>
      <c r="F476" s="304">
        <v>244</v>
      </c>
      <c r="G476" s="304">
        <v>310</v>
      </c>
      <c r="H476" s="2199">
        <f>SUM(I476:L476)</f>
        <v>0</v>
      </c>
      <c r="I476" s="2200">
        <v>0</v>
      </c>
      <c r="J476" s="2199">
        <v>0</v>
      </c>
      <c r="K476" s="2200">
        <v>0</v>
      </c>
      <c r="L476" s="2199">
        <v>0</v>
      </c>
      <c r="M476" s="2489"/>
      <c r="N476" s="833"/>
    </row>
    <row r="477" spans="1:14" ht="26.25" customHeight="1">
      <c r="A477" s="310" t="s">
        <v>1375</v>
      </c>
      <c r="B477" s="107">
        <v>968</v>
      </c>
      <c r="C477" s="107">
        <v>707</v>
      </c>
      <c r="D477" s="107" t="str">
        <f>D479</f>
        <v>795 06 00</v>
      </c>
      <c r="E477" s="107"/>
      <c r="F477" s="305"/>
      <c r="G477" s="305"/>
      <c r="H477" s="650">
        <f>H479</f>
        <v>1610.9</v>
      </c>
      <c r="I477" s="777">
        <f aca="true" t="shared" si="86" ref="I477:L478">I478</f>
        <v>792</v>
      </c>
      <c r="J477" s="777">
        <f t="shared" si="86"/>
        <v>818.9</v>
      </c>
      <c r="K477" s="777">
        <f t="shared" si="86"/>
        <v>0</v>
      </c>
      <c r="L477" s="650">
        <f t="shared" si="86"/>
        <v>0</v>
      </c>
      <c r="M477" s="2489"/>
      <c r="N477" s="833"/>
    </row>
    <row r="478" spans="1:14" ht="16.5" customHeight="1">
      <c r="A478" s="310" t="s">
        <v>1158</v>
      </c>
      <c r="B478" s="1085">
        <v>968</v>
      </c>
      <c r="C478" s="1085">
        <v>707</v>
      </c>
      <c r="D478" s="1085" t="str">
        <f>D479</f>
        <v>795 06 00</v>
      </c>
      <c r="E478" s="1085">
        <v>500</v>
      </c>
      <c r="F478" s="1079">
        <v>200</v>
      </c>
      <c r="G478" s="305"/>
      <c r="H478" s="650">
        <f>SUM(I478:L478)</f>
        <v>1610.9</v>
      </c>
      <c r="I478" s="777">
        <f t="shared" si="86"/>
        <v>792</v>
      </c>
      <c r="J478" s="777">
        <f t="shared" si="86"/>
        <v>818.9</v>
      </c>
      <c r="K478" s="777">
        <f t="shared" si="86"/>
        <v>0</v>
      </c>
      <c r="L478" s="650">
        <f t="shared" si="86"/>
        <v>0</v>
      </c>
      <c r="M478" s="2489"/>
      <c r="N478" s="833"/>
    </row>
    <row r="479" spans="1:14" ht="12.75">
      <c r="A479" s="1078" t="s">
        <v>1002</v>
      </c>
      <c r="B479" s="1085">
        <v>968</v>
      </c>
      <c r="C479" s="1085">
        <v>707</v>
      </c>
      <c r="D479" s="1085" t="str">
        <f>D480</f>
        <v>795 06 00</v>
      </c>
      <c r="E479" s="1085">
        <v>500</v>
      </c>
      <c r="F479" s="1079">
        <v>244</v>
      </c>
      <c r="G479" s="1079"/>
      <c r="H479" s="1086">
        <f>H480+H484</f>
        <v>1610.9</v>
      </c>
      <c r="I479" s="1086">
        <f>I480+I484</f>
        <v>792</v>
      </c>
      <c r="J479" s="1086">
        <f>J480+J484</f>
        <v>818.9</v>
      </c>
      <c r="K479" s="1086">
        <f>K480+K484</f>
        <v>0</v>
      </c>
      <c r="L479" s="1086">
        <f>L480+L484</f>
        <v>0</v>
      </c>
      <c r="M479" s="2489"/>
      <c r="N479" s="833"/>
    </row>
    <row r="480" spans="1:14" ht="12.75">
      <c r="A480" s="288" t="s">
        <v>326</v>
      </c>
      <c r="B480" s="97">
        <v>968</v>
      </c>
      <c r="C480" s="97">
        <v>707</v>
      </c>
      <c r="D480" s="97" t="str">
        <f>D481</f>
        <v>795 06 00</v>
      </c>
      <c r="E480" s="97">
        <v>500</v>
      </c>
      <c r="F480" s="302">
        <v>244</v>
      </c>
      <c r="G480" s="302">
        <v>200</v>
      </c>
      <c r="H480" s="1534">
        <f>H481+H483</f>
        <v>1610.9</v>
      </c>
      <c r="I480" s="1534">
        <f>I481+I483</f>
        <v>792</v>
      </c>
      <c r="J480" s="1534">
        <f>J481+J483</f>
        <v>818.9</v>
      </c>
      <c r="K480" s="1534">
        <f>K481+K483</f>
        <v>0</v>
      </c>
      <c r="L480" s="1534">
        <f>L481+L483</f>
        <v>0</v>
      </c>
      <c r="M480" s="2489"/>
      <c r="N480" s="833"/>
    </row>
    <row r="481" spans="1:14" ht="12.75">
      <c r="A481" s="290" t="s">
        <v>327</v>
      </c>
      <c r="B481" s="298">
        <v>968</v>
      </c>
      <c r="C481" s="298">
        <v>707</v>
      </c>
      <c r="D481" s="298" t="str">
        <f>D482</f>
        <v>795 06 00</v>
      </c>
      <c r="E481" s="298">
        <v>598</v>
      </c>
      <c r="F481" s="298">
        <v>244</v>
      </c>
      <c r="G481" s="303">
        <v>220</v>
      </c>
      <c r="H481" s="2184">
        <f>H482</f>
        <v>1610.9</v>
      </c>
      <c r="I481" s="2184">
        <f>I482</f>
        <v>792</v>
      </c>
      <c r="J481" s="2184">
        <f>J482</f>
        <v>818.9</v>
      </c>
      <c r="K481" s="2184">
        <f>K482</f>
        <v>0</v>
      </c>
      <c r="L481" s="2184">
        <f>L482</f>
        <v>0</v>
      </c>
      <c r="M481" s="2489"/>
      <c r="N481" s="833"/>
    </row>
    <row r="482" spans="1:14" ht="15.75" customHeight="1">
      <c r="A482" s="561" t="s">
        <v>329</v>
      </c>
      <c r="B482" s="562">
        <v>968</v>
      </c>
      <c r="C482" s="562">
        <v>707</v>
      </c>
      <c r="D482" s="297" t="s">
        <v>1104</v>
      </c>
      <c r="E482" s="562">
        <v>500</v>
      </c>
      <c r="F482" s="563">
        <v>244</v>
      </c>
      <c r="G482" s="563">
        <v>226</v>
      </c>
      <c r="H482" s="2181">
        <f>SUM(I482:L482)</f>
        <v>1610.9</v>
      </c>
      <c r="I482" s="2182">
        <f>799.2-7.2</f>
        <v>792</v>
      </c>
      <c r="J482" s="2181">
        <f>1120-100-201.1</f>
        <v>818.9</v>
      </c>
      <c r="K482" s="2182">
        <v>0</v>
      </c>
      <c r="L482" s="2181">
        <v>0</v>
      </c>
      <c r="M482" s="2489">
        <v>1610.9</v>
      </c>
      <c r="N482" s="833"/>
    </row>
    <row r="483" spans="1:14" ht="15.75" customHeight="1" hidden="1">
      <c r="A483" s="290" t="s">
        <v>224</v>
      </c>
      <c r="B483" s="297">
        <v>968</v>
      </c>
      <c r="C483" s="297">
        <v>707</v>
      </c>
      <c r="D483" s="297" t="s">
        <v>1104</v>
      </c>
      <c r="E483" s="297">
        <v>500</v>
      </c>
      <c r="F483" s="298">
        <v>244</v>
      </c>
      <c r="G483" s="303">
        <v>290</v>
      </c>
      <c r="H483" s="2181">
        <f>SUM(I483:L483)</f>
        <v>0</v>
      </c>
      <c r="I483" s="2248">
        <v>0</v>
      </c>
      <c r="J483" s="2249">
        <f>198-198</f>
        <v>0</v>
      </c>
      <c r="K483" s="2248">
        <v>0</v>
      </c>
      <c r="L483" s="2249">
        <v>0</v>
      </c>
      <c r="M483" s="2489"/>
      <c r="N483" s="833"/>
    </row>
    <row r="484" spans="1:14" ht="15.75" customHeight="1" hidden="1">
      <c r="A484" s="288" t="s">
        <v>330</v>
      </c>
      <c r="B484" s="97">
        <v>968</v>
      </c>
      <c r="C484" s="97">
        <v>707</v>
      </c>
      <c r="D484" s="97" t="s">
        <v>222</v>
      </c>
      <c r="E484" s="97">
        <v>500</v>
      </c>
      <c r="F484" s="302">
        <v>240</v>
      </c>
      <c r="G484" s="577">
        <v>300</v>
      </c>
      <c r="H484" s="2198">
        <f>H485</f>
        <v>0</v>
      </c>
      <c r="I484" s="2198">
        <f>I485</f>
        <v>0</v>
      </c>
      <c r="J484" s="2226">
        <f>J485</f>
        <v>0</v>
      </c>
      <c r="K484" s="2198">
        <f>K485</f>
        <v>0</v>
      </c>
      <c r="L484" s="2198">
        <f>L485</f>
        <v>0</v>
      </c>
      <c r="M484" s="2489"/>
      <c r="N484" s="833"/>
    </row>
    <row r="485" spans="1:14" ht="15.75" customHeight="1" hidden="1">
      <c r="A485" s="291" t="s">
        <v>225</v>
      </c>
      <c r="B485" s="298">
        <v>968</v>
      </c>
      <c r="C485" s="562">
        <v>707</v>
      </c>
      <c r="D485" s="562" t="s">
        <v>222</v>
      </c>
      <c r="E485" s="562">
        <v>500</v>
      </c>
      <c r="F485" s="563">
        <v>240</v>
      </c>
      <c r="G485" s="304">
        <v>310</v>
      </c>
      <c r="H485" s="2203">
        <f>SUM(I485:L485)</f>
        <v>0</v>
      </c>
      <c r="I485" s="2203">
        <v>0</v>
      </c>
      <c r="J485" s="2224">
        <v>0</v>
      </c>
      <c r="K485" s="2203">
        <v>0</v>
      </c>
      <c r="L485" s="2203">
        <f>330.725-286.01-44.715</f>
        <v>0</v>
      </c>
      <c r="M485" s="2489"/>
      <c r="N485" s="833"/>
    </row>
    <row r="486" spans="1:14" ht="40.5" customHeight="1">
      <c r="A486" s="310" t="str">
        <f>Пцс!B52</f>
        <v>Ведомственная целевая программа   по участию в профилактике  терроризма и экстремизма, а также  минимизации и (или) ликвидации последствий проявления терроризма и экстремизма на территории МО </v>
      </c>
      <c r="B486" s="107">
        <v>968</v>
      </c>
      <c r="C486" s="107">
        <v>707</v>
      </c>
      <c r="D486" s="107" t="str">
        <f>Пцс!C52</f>
        <v>795 05 00</v>
      </c>
      <c r="E486" s="107"/>
      <c r="F486" s="305"/>
      <c r="G486" s="305"/>
      <c r="H486" s="650">
        <f>H488</f>
        <v>85.36500000000001</v>
      </c>
      <c r="I486" s="777">
        <f aca="true" t="shared" si="87" ref="I486:L488">I487</f>
        <v>0</v>
      </c>
      <c r="J486" s="777">
        <f t="shared" si="87"/>
        <v>25.740000000000002</v>
      </c>
      <c r="K486" s="777">
        <f t="shared" si="87"/>
        <v>0</v>
      </c>
      <c r="L486" s="650">
        <f t="shared" si="87"/>
        <v>59.62500000000001</v>
      </c>
      <c r="M486" s="2489"/>
      <c r="N486" s="833"/>
    </row>
    <row r="487" spans="1:14" ht="15.75" customHeight="1">
      <c r="A487" s="310" t="s">
        <v>1158</v>
      </c>
      <c r="B487" s="1085">
        <v>968</v>
      </c>
      <c r="C487" s="1085">
        <v>707</v>
      </c>
      <c r="D487" s="1085" t="str">
        <f>D488</f>
        <v>795 05 00</v>
      </c>
      <c r="E487" s="1085">
        <v>500</v>
      </c>
      <c r="F487" s="1079">
        <v>200</v>
      </c>
      <c r="G487" s="305"/>
      <c r="H487" s="650">
        <f>SUM(I487:L487)</f>
        <v>85.36500000000001</v>
      </c>
      <c r="I487" s="777">
        <f t="shared" si="87"/>
        <v>0</v>
      </c>
      <c r="J487" s="777">
        <f t="shared" si="87"/>
        <v>25.740000000000002</v>
      </c>
      <c r="K487" s="777">
        <f t="shared" si="87"/>
        <v>0</v>
      </c>
      <c r="L487" s="650">
        <f t="shared" si="87"/>
        <v>59.62500000000001</v>
      </c>
      <c r="M487" s="2489"/>
      <c r="N487" s="833"/>
    </row>
    <row r="488" spans="1:14" ht="15.75" customHeight="1">
      <c r="A488" s="1078" t="s">
        <v>1002</v>
      </c>
      <c r="B488" s="1085">
        <v>968</v>
      </c>
      <c r="C488" s="1085">
        <v>707</v>
      </c>
      <c r="D488" s="1085" t="str">
        <f>D489</f>
        <v>795 05 00</v>
      </c>
      <c r="E488" s="1085">
        <v>500</v>
      </c>
      <c r="F488" s="1079">
        <v>244</v>
      </c>
      <c r="G488" s="1079"/>
      <c r="H488" s="1086">
        <f>SUM(I488:L488)</f>
        <v>85.36500000000001</v>
      </c>
      <c r="I488" s="1086">
        <f>I489</f>
        <v>0</v>
      </c>
      <c r="J488" s="1086">
        <f t="shared" si="87"/>
        <v>25.740000000000002</v>
      </c>
      <c r="K488" s="1086">
        <f t="shared" si="87"/>
        <v>0</v>
      </c>
      <c r="L488" s="1086">
        <f t="shared" si="87"/>
        <v>59.62500000000001</v>
      </c>
      <c r="M488" s="2489"/>
      <c r="N488" s="833"/>
    </row>
    <row r="489" spans="1:14" ht="15.75" customHeight="1">
      <c r="A489" s="288" t="s">
        <v>326</v>
      </c>
      <c r="B489" s="97">
        <v>968</v>
      </c>
      <c r="C489" s="97">
        <v>707</v>
      </c>
      <c r="D489" s="97" t="str">
        <f>D490</f>
        <v>795 05 00</v>
      </c>
      <c r="E489" s="97">
        <v>500</v>
      </c>
      <c r="F489" s="302">
        <v>244</v>
      </c>
      <c r="G489" s="302">
        <v>200</v>
      </c>
      <c r="H489" s="1534">
        <f>H490+H492</f>
        <v>85.36500000000001</v>
      </c>
      <c r="I489" s="1534">
        <f>I490+I492</f>
        <v>0</v>
      </c>
      <c r="J489" s="1534">
        <f>J490+J492</f>
        <v>25.740000000000002</v>
      </c>
      <c r="K489" s="1534">
        <f>K490+K492</f>
        <v>0</v>
      </c>
      <c r="L489" s="1534">
        <f>L490+L492</f>
        <v>59.62500000000001</v>
      </c>
      <c r="M489" s="2489"/>
      <c r="N489" s="833"/>
    </row>
    <row r="490" spans="1:14" ht="15.75" customHeight="1">
      <c r="A490" s="290" t="s">
        <v>327</v>
      </c>
      <c r="B490" s="298">
        <v>968</v>
      </c>
      <c r="C490" s="298">
        <v>707</v>
      </c>
      <c r="D490" s="298" t="str">
        <f>D491</f>
        <v>795 05 00</v>
      </c>
      <c r="E490" s="298">
        <v>598</v>
      </c>
      <c r="F490" s="298">
        <v>244</v>
      </c>
      <c r="G490" s="303">
        <v>220</v>
      </c>
      <c r="H490" s="2184">
        <f>H491</f>
        <v>85.36500000000001</v>
      </c>
      <c r="I490" s="2184">
        <f>I491</f>
        <v>0</v>
      </c>
      <c r="J490" s="2184">
        <f>J491</f>
        <v>25.740000000000002</v>
      </c>
      <c r="K490" s="2184">
        <f>K491</f>
        <v>0</v>
      </c>
      <c r="L490" s="2184">
        <f>L491</f>
        <v>59.62500000000001</v>
      </c>
      <c r="M490" s="2489"/>
      <c r="N490" s="833"/>
    </row>
    <row r="491" spans="1:14" ht="15.75" customHeight="1">
      <c r="A491" s="561" t="s">
        <v>329</v>
      </c>
      <c r="B491" s="562">
        <v>968</v>
      </c>
      <c r="C491" s="562">
        <v>707</v>
      </c>
      <c r="D491" s="297" t="str">
        <f>Пцс!C52</f>
        <v>795 05 00</v>
      </c>
      <c r="E491" s="562">
        <v>500</v>
      </c>
      <c r="F491" s="563">
        <v>244</v>
      </c>
      <c r="G491" s="563">
        <v>226</v>
      </c>
      <c r="H491" s="2181">
        <f>SUM(I491:L491)</f>
        <v>85.36500000000001</v>
      </c>
      <c r="I491" s="2182">
        <v>0</v>
      </c>
      <c r="J491" s="2181">
        <f>30-4.26</f>
        <v>25.740000000000002</v>
      </c>
      <c r="K491" s="2182">
        <v>0</v>
      </c>
      <c r="L491" s="2181">
        <f>70+4.26-14.635</f>
        <v>59.62500000000001</v>
      </c>
      <c r="M491" s="2489">
        <v>85.4</v>
      </c>
      <c r="N491" s="833"/>
    </row>
    <row r="492" spans="1:14" ht="15.75" customHeight="1">
      <c r="A492" s="290" t="s">
        <v>224</v>
      </c>
      <c r="B492" s="297">
        <v>968</v>
      </c>
      <c r="C492" s="297">
        <v>707</v>
      </c>
      <c r="D492" s="297" t="str">
        <f>Пцс!C52</f>
        <v>795 05 00</v>
      </c>
      <c r="E492" s="297">
        <v>500</v>
      </c>
      <c r="F492" s="298">
        <v>244</v>
      </c>
      <c r="G492" s="303">
        <v>290</v>
      </c>
      <c r="H492" s="2181">
        <f>SUM(I492:L492)</f>
        <v>0</v>
      </c>
      <c r="I492" s="2248">
        <f>30-30</f>
        <v>0</v>
      </c>
      <c r="J492" s="2249">
        <f>30-30</f>
        <v>0</v>
      </c>
      <c r="K492" s="2248">
        <v>0</v>
      </c>
      <c r="L492" s="2249">
        <v>0</v>
      </c>
      <c r="M492" s="2489"/>
      <c r="N492" s="833"/>
    </row>
    <row r="493" spans="1:14" ht="12.75">
      <c r="A493" s="1502" t="s">
        <v>14</v>
      </c>
      <c r="B493" s="296">
        <v>968</v>
      </c>
      <c r="C493" s="296">
        <v>709</v>
      </c>
      <c r="D493" s="296"/>
      <c r="E493" s="296"/>
      <c r="F493" s="301"/>
      <c r="G493" s="301"/>
      <c r="H493" s="2251">
        <f>H494+H503</f>
        <v>118.01</v>
      </c>
      <c r="I493" s="2252">
        <f>I494+I503</f>
        <v>0</v>
      </c>
      <c r="J493" s="2252">
        <f>J494+J503</f>
        <v>83.01</v>
      </c>
      <c r="K493" s="2252">
        <f>K494+K503</f>
        <v>35</v>
      </c>
      <c r="L493" s="2253">
        <f>L494+L503</f>
        <v>0</v>
      </c>
      <c r="M493" s="2489">
        <v>118</v>
      </c>
      <c r="N493" s="833"/>
    </row>
    <row r="494" spans="1:14" ht="28.5" customHeight="1">
      <c r="A494" s="310" t="s">
        <v>1376</v>
      </c>
      <c r="B494" s="107">
        <v>968</v>
      </c>
      <c r="C494" s="107">
        <v>709</v>
      </c>
      <c r="D494" s="107" t="str">
        <f>D496</f>
        <v>795 01 00</v>
      </c>
      <c r="E494" s="107"/>
      <c r="F494" s="305"/>
      <c r="G494" s="305"/>
      <c r="H494" s="650">
        <f>H496</f>
        <v>35</v>
      </c>
      <c r="I494" s="650">
        <f aca="true" t="shared" si="88" ref="I494:L495">I495</f>
        <v>0</v>
      </c>
      <c r="J494" s="650">
        <f t="shared" si="88"/>
        <v>0</v>
      </c>
      <c r="K494" s="650">
        <f t="shared" si="88"/>
        <v>35</v>
      </c>
      <c r="L494" s="650">
        <f t="shared" si="88"/>
        <v>0</v>
      </c>
      <c r="M494" s="2489"/>
      <c r="N494" s="833"/>
    </row>
    <row r="495" spans="1:14" ht="17.25" customHeight="1">
      <c r="A495" s="310" t="s">
        <v>1158</v>
      </c>
      <c r="B495" s="1085">
        <v>968</v>
      </c>
      <c r="C495" s="1085">
        <v>709</v>
      </c>
      <c r="D495" s="1085" t="str">
        <f aca="true" t="shared" si="89" ref="D495:D500">D496</f>
        <v>795 01 00</v>
      </c>
      <c r="E495" s="1085">
        <v>500</v>
      </c>
      <c r="F495" s="1079">
        <v>200</v>
      </c>
      <c r="G495" s="305"/>
      <c r="H495" s="650">
        <f>SUM(I495:L495)</f>
        <v>35</v>
      </c>
      <c r="I495" s="777">
        <f t="shared" si="88"/>
        <v>0</v>
      </c>
      <c r="J495" s="777">
        <f t="shared" si="88"/>
        <v>0</v>
      </c>
      <c r="K495" s="777">
        <f t="shared" si="88"/>
        <v>35</v>
      </c>
      <c r="L495" s="650">
        <f t="shared" si="88"/>
        <v>0</v>
      </c>
      <c r="M495" s="833"/>
      <c r="N495" s="833"/>
    </row>
    <row r="496" spans="1:14" ht="12.75">
      <c r="A496" s="1078" t="s">
        <v>1002</v>
      </c>
      <c r="B496" s="1085">
        <v>968</v>
      </c>
      <c r="C496" s="1085">
        <v>709</v>
      </c>
      <c r="D496" s="1085" t="str">
        <f t="shared" si="89"/>
        <v>795 01 00</v>
      </c>
      <c r="E496" s="1085">
        <v>500</v>
      </c>
      <c r="F496" s="1079">
        <v>244</v>
      </c>
      <c r="G496" s="1079"/>
      <c r="H496" s="1086">
        <f>SUM(I496:L496)</f>
        <v>35</v>
      </c>
      <c r="I496" s="1087">
        <f>I497+I500</f>
        <v>0</v>
      </c>
      <c r="J496" s="1087">
        <f>J497+J500</f>
        <v>0</v>
      </c>
      <c r="K496" s="1087">
        <f>K497+K500</f>
        <v>35</v>
      </c>
      <c r="L496" s="1086">
        <f>L497+L500</f>
        <v>0</v>
      </c>
      <c r="M496" s="833"/>
      <c r="N496" s="833"/>
    </row>
    <row r="497" spans="1:14" ht="12.75">
      <c r="A497" s="288" t="s">
        <v>326</v>
      </c>
      <c r="B497" s="97">
        <v>968</v>
      </c>
      <c r="C497" s="97">
        <v>709</v>
      </c>
      <c r="D497" s="97" t="str">
        <f t="shared" si="89"/>
        <v>795 01 00</v>
      </c>
      <c r="E497" s="97">
        <v>500</v>
      </c>
      <c r="F497" s="302">
        <v>244</v>
      </c>
      <c r="G497" s="302">
        <v>200</v>
      </c>
      <c r="H497" s="1534">
        <f>H498+H499</f>
        <v>35</v>
      </c>
      <c r="I497" s="1534">
        <f>I498+I499</f>
        <v>0</v>
      </c>
      <c r="J497" s="1534">
        <f>J498+J499</f>
        <v>0</v>
      </c>
      <c r="K497" s="1534">
        <f>K498+K499</f>
        <v>35</v>
      </c>
      <c r="L497" s="1534">
        <f>L498+L499</f>
        <v>0</v>
      </c>
      <c r="M497" s="833"/>
      <c r="N497" s="833"/>
    </row>
    <row r="498" spans="1:14" ht="16.5" customHeight="1" thickBot="1">
      <c r="A498" s="561" t="s">
        <v>329</v>
      </c>
      <c r="B498" s="562">
        <v>968</v>
      </c>
      <c r="C498" s="562">
        <v>709</v>
      </c>
      <c r="D498" s="562" t="str">
        <f t="shared" si="89"/>
        <v>795 01 00</v>
      </c>
      <c r="E498" s="562">
        <v>500</v>
      </c>
      <c r="F498" s="563">
        <v>244</v>
      </c>
      <c r="G498" s="563">
        <v>226</v>
      </c>
      <c r="H498" s="2181">
        <f aca="true" t="shared" si="90" ref="H498:H504">SUM(I498:L498)</f>
        <v>35</v>
      </c>
      <c r="I498" s="2182">
        <v>0</v>
      </c>
      <c r="J498" s="2181">
        <v>0</v>
      </c>
      <c r="K498" s="2240">
        <f>30+12-7</f>
        <v>35</v>
      </c>
      <c r="L498" s="2181">
        <f>7-7</f>
        <v>0</v>
      </c>
      <c r="M498" s="833">
        <v>35</v>
      </c>
      <c r="N498" s="833"/>
    </row>
    <row r="499" spans="1:14" ht="16.5" customHeight="1">
      <c r="A499" s="290" t="s">
        <v>224</v>
      </c>
      <c r="B499" s="1061">
        <v>968</v>
      </c>
      <c r="C499" s="1061">
        <v>709</v>
      </c>
      <c r="D499" s="1061" t="str">
        <f t="shared" si="89"/>
        <v>795 01 00</v>
      </c>
      <c r="E499" s="1061">
        <v>500</v>
      </c>
      <c r="F499" s="1062">
        <v>244</v>
      </c>
      <c r="G499" s="1062">
        <v>290</v>
      </c>
      <c r="H499" s="2181">
        <f t="shared" si="90"/>
        <v>0</v>
      </c>
      <c r="I499" s="2182">
        <v>0</v>
      </c>
      <c r="J499" s="2181">
        <v>0</v>
      </c>
      <c r="K499" s="2182">
        <f>130-130</f>
        <v>0</v>
      </c>
      <c r="L499" s="2181">
        <v>0</v>
      </c>
      <c r="M499" s="833">
        <v>0</v>
      </c>
      <c r="N499" s="833"/>
    </row>
    <row r="500" spans="1:14" ht="16.5" customHeight="1" hidden="1">
      <c r="A500" s="288" t="s">
        <v>330</v>
      </c>
      <c r="B500" s="97">
        <v>968</v>
      </c>
      <c r="C500" s="97">
        <v>709</v>
      </c>
      <c r="D500" s="97" t="str">
        <f t="shared" si="89"/>
        <v>795 01 00</v>
      </c>
      <c r="E500" s="97">
        <v>500</v>
      </c>
      <c r="F500" s="302">
        <v>240</v>
      </c>
      <c r="G500" s="302">
        <v>300</v>
      </c>
      <c r="H500" s="2201">
        <f t="shared" si="90"/>
        <v>0</v>
      </c>
      <c r="I500" s="2201">
        <f>SUM(I501:I502)</f>
        <v>0</v>
      </c>
      <c r="J500" s="2201">
        <f>SUM(J501:J502)</f>
        <v>0</v>
      </c>
      <c r="K500" s="2201">
        <f>SUM(K501:K502)</f>
        <v>0</v>
      </c>
      <c r="L500" s="2201">
        <f>SUM(L501:L502)</f>
        <v>0</v>
      </c>
      <c r="M500" s="833"/>
      <c r="N500" s="833"/>
    </row>
    <row r="501" spans="1:14" ht="16.5" customHeight="1" hidden="1">
      <c r="A501" s="291" t="s">
        <v>225</v>
      </c>
      <c r="B501" s="298">
        <v>968</v>
      </c>
      <c r="C501" s="562">
        <v>709</v>
      </c>
      <c r="D501" s="562" t="s">
        <v>409</v>
      </c>
      <c r="E501" s="562">
        <v>500</v>
      </c>
      <c r="F501" s="563">
        <v>240</v>
      </c>
      <c r="G501" s="304">
        <v>310</v>
      </c>
      <c r="H501" s="2201">
        <f t="shared" si="90"/>
        <v>0</v>
      </c>
      <c r="I501" s="2202">
        <v>0</v>
      </c>
      <c r="J501" s="2202">
        <v>0</v>
      </c>
      <c r="K501" s="2204">
        <v>0</v>
      </c>
      <c r="L501" s="2230">
        <v>0</v>
      </c>
      <c r="M501" s="833"/>
      <c r="N501" s="833"/>
    </row>
    <row r="502" spans="1:14" ht="16.5" customHeight="1" hidden="1" thickBot="1">
      <c r="A502" s="291" t="s">
        <v>226</v>
      </c>
      <c r="B502" s="298">
        <v>968</v>
      </c>
      <c r="C502" s="562">
        <v>709</v>
      </c>
      <c r="D502" s="562" t="s">
        <v>15</v>
      </c>
      <c r="E502" s="562">
        <v>500</v>
      </c>
      <c r="F502" s="563"/>
      <c r="G502" s="304">
        <v>340</v>
      </c>
      <c r="H502" s="2203">
        <f t="shared" si="90"/>
        <v>0</v>
      </c>
      <c r="I502" s="2204">
        <v>0</v>
      </c>
      <c r="J502" s="2203">
        <f>30-30</f>
        <v>0</v>
      </c>
      <c r="K502" s="2204">
        <v>0</v>
      </c>
      <c r="L502" s="2221">
        <v>0</v>
      </c>
      <c r="M502" s="833"/>
      <c r="N502" s="833"/>
    </row>
    <row r="503" spans="1:14" ht="40.5" customHeight="1">
      <c r="A503" s="310" t="s">
        <v>1373</v>
      </c>
      <c r="B503" s="107">
        <v>968</v>
      </c>
      <c r="C503" s="107">
        <v>709</v>
      </c>
      <c r="D503" s="107" t="str">
        <f>D505</f>
        <v>795 04 00</v>
      </c>
      <c r="E503" s="107"/>
      <c r="F503" s="305"/>
      <c r="G503" s="305"/>
      <c r="H503" s="650">
        <f t="shared" si="90"/>
        <v>83.01</v>
      </c>
      <c r="I503" s="777">
        <f aca="true" t="shared" si="91" ref="I503:L504">I504</f>
        <v>0</v>
      </c>
      <c r="J503" s="777">
        <f t="shared" si="91"/>
        <v>83.01</v>
      </c>
      <c r="K503" s="777">
        <f t="shared" si="91"/>
        <v>0</v>
      </c>
      <c r="L503" s="650">
        <f t="shared" si="91"/>
        <v>0</v>
      </c>
      <c r="M503" s="833"/>
      <c r="N503" s="833"/>
    </row>
    <row r="504" spans="1:14" ht="15" customHeight="1">
      <c r="A504" s="310" t="s">
        <v>1158</v>
      </c>
      <c r="B504" s="1085">
        <v>968</v>
      </c>
      <c r="C504" s="1085">
        <v>709</v>
      </c>
      <c r="D504" s="1085" t="str">
        <f>D505</f>
        <v>795 04 00</v>
      </c>
      <c r="E504" s="1085">
        <v>500</v>
      </c>
      <c r="F504" s="1079">
        <v>200</v>
      </c>
      <c r="G504" s="305"/>
      <c r="H504" s="650">
        <f t="shared" si="90"/>
        <v>83.01</v>
      </c>
      <c r="I504" s="777">
        <f t="shared" si="91"/>
        <v>0</v>
      </c>
      <c r="J504" s="777">
        <f t="shared" si="91"/>
        <v>83.01</v>
      </c>
      <c r="K504" s="777">
        <f t="shared" si="91"/>
        <v>0</v>
      </c>
      <c r="L504" s="650">
        <f t="shared" si="91"/>
        <v>0</v>
      </c>
      <c r="M504" s="833"/>
      <c r="N504" s="833"/>
    </row>
    <row r="505" spans="1:14" ht="16.5" customHeight="1">
      <c r="A505" s="1078" t="s">
        <v>1002</v>
      </c>
      <c r="B505" s="1085">
        <v>968</v>
      </c>
      <c r="C505" s="1085">
        <v>709</v>
      </c>
      <c r="D505" s="1085" t="str">
        <f>D506</f>
        <v>795 04 00</v>
      </c>
      <c r="E505" s="1085">
        <v>500</v>
      </c>
      <c r="F505" s="1079">
        <v>244</v>
      </c>
      <c r="G505" s="1079"/>
      <c r="H505" s="1086">
        <f>H506</f>
        <v>83.01</v>
      </c>
      <c r="I505" s="1087">
        <f>I506</f>
        <v>0</v>
      </c>
      <c r="J505" s="1087">
        <f>J506</f>
        <v>83.01</v>
      </c>
      <c r="K505" s="1087">
        <f>K506</f>
        <v>0</v>
      </c>
      <c r="L505" s="1086">
        <f>L506</f>
        <v>0</v>
      </c>
      <c r="M505" s="833"/>
      <c r="N505" s="833"/>
    </row>
    <row r="506" spans="1:14" ht="12.75" customHeight="1">
      <c r="A506" s="288" t="s">
        <v>326</v>
      </c>
      <c r="B506" s="97">
        <v>968</v>
      </c>
      <c r="C506" s="97">
        <v>709</v>
      </c>
      <c r="D506" s="97" t="str">
        <f>D507</f>
        <v>795 04 00</v>
      </c>
      <c r="E506" s="97">
        <v>500</v>
      </c>
      <c r="F506" s="302">
        <v>244</v>
      </c>
      <c r="G506" s="302">
        <v>200</v>
      </c>
      <c r="H506" s="1534">
        <f aca="true" t="shared" si="92" ref="H506:H512">SUM(I506:L506)</f>
        <v>83.01</v>
      </c>
      <c r="I506" s="1534">
        <f>SUM(I507:I508)</f>
        <v>0</v>
      </c>
      <c r="J506" s="1534">
        <f>SUM(J507:J508)</f>
        <v>83.01</v>
      </c>
      <c r="K506" s="1534">
        <f>SUM(K507:K508)</f>
        <v>0</v>
      </c>
      <c r="L506" s="1534">
        <f>SUM(L507:L508)</f>
        <v>0</v>
      </c>
      <c r="M506" s="833">
        <v>83</v>
      </c>
      <c r="N506" s="833"/>
    </row>
    <row r="507" spans="1:14" ht="16.5" customHeight="1">
      <c r="A507" s="561" t="s">
        <v>329</v>
      </c>
      <c r="B507" s="298">
        <v>968</v>
      </c>
      <c r="C507" s="298">
        <v>709</v>
      </c>
      <c r="D507" s="298" t="s">
        <v>143</v>
      </c>
      <c r="E507" s="298">
        <v>500</v>
      </c>
      <c r="F507" s="298">
        <v>244</v>
      </c>
      <c r="G507" s="298">
        <v>226</v>
      </c>
      <c r="H507" s="2165">
        <f t="shared" si="92"/>
        <v>53.010000000000005</v>
      </c>
      <c r="I507" s="2165">
        <f>76.5+15-91.5</f>
        <v>0</v>
      </c>
      <c r="J507" s="2165">
        <f>15+61.5-23.49</f>
        <v>53.010000000000005</v>
      </c>
      <c r="K507" s="2165">
        <f>15-15</f>
        <v>0</v>
      </c>
      <c r="L507" s="2237">
        <f>23.49-23.49</f>
        <v>0</v>
      </c>
      <c r="M507" s="833">
        <v>53</v>
      </c>
      <c r="N507" s="833"/>
    </row>
    <row r="508" spans="1:14" ht="16.5" customHeight="1" thickBot="1">
      <c r="A508" s="290" t="s">
        <v>224</v>
      </c>
      <c r="B508" s="298">
        <v>968</v>
      </c>
      <c r="C508" s="298">
        <v>709</v>
      </c>
      <c r="D508" s="298" t="s">
        <v>143</v>
      </c>
      <c r="E508" s="298">
        <v>500</v>
      </c>
      <c r="F508" s="298">
        <v>244</v>
      </c>
      <c r="G508" s="298">
        <v>290</v>
      </c>
      <c r="H508" s="2165">
        <f t="shared" si="92"/>
        <v>30</v>
      </c>
      <c r="I508" s="2165">
        <f>90-90</f>
        <v>0</v>
      </c>
      <c r="J508" s="2165">
        <f>30</f>
        <v>30</v>
      </c>
      <c r="K508" s="2165">
        <f>20-20</f>
        <v>0</v>
      </c>
      <c r="L508" s="2237">
        <v>0</v>
      </c>
      <c r="M508" s="833">
        <v>30</v>
      </c>
      <c r="N508" s="833"/>
    </row>
    <row r="509" spans="1:14" ht="16.5" customHeight="1" thickBot="1">
      <c r="A509" s="569" t="s">
        <v>842</v>
      </c>
      <c r="B509" s="1788">
        <v>968</v>
      </c>
      <c r="C509" s="1788">
        <v>800</v>
      </c>
      <c r="D509" s="1788"/>
      <c r="E509" s="1788"/>
      <c r="F509" s="1789"/>
      <c r="G509" s="1789"/>
      <c r="H509" s="2250">
        <f t="shared" si="92"/>
        <v>10849.932</v>
      </c>
      <c r="I509" s="2250">
        <f>I510+I519</f>
        <v>3333.205</v>
      </c>
      <c r="J509" s="2250">
        <f>J510+J519</f>
        <v>4130.566</v>
      </c>
      <c r="K509" s="2250">
        <f>K510+K519</f>
        <v>978.8530000000002</v>
      </c>
      <c r="L509" s="2250">
        <f>L510+L519</f>
        <v>2407.308</v>
      </c>
      <c r="M509" s="833">
        <v>10849.9</v>
      </c>
      <c r="N509" s="833"/>
    </row>
    <row r="510" spans="1:14" ht="18" customHeight="1">
      <c r="A510" s="574" t="s">
        <v>641</v>
      </c>
      <c r="B510" s="566">
        <v>968</v>
      </c>
      <c r="C510" s="566">
        <v>801</v>
      </c>
      <c r="D510" s="566"/>
      <c r="E510" s="566"/>
      <c r="F510" s="567"/>
      <c r="G510" s="567"/>
      <c r="H510" s="2244">
        <f t="shared" si="92"/>
        <v>9164.942000000001</v>
      </c>
      <c r="I510" s="2243">
        <f>I511</f>
        <v>2864.475</v>
      </c>
      <c r="J510" s="2243">
        <f>J511</f>
        <v>3748.0609999999997</v>
      </c>
      <c r="K510" s="2243">
        <f>K511</f>
        <v>958.8530000000002</v>
      </c>
      <c r="L510" s="2243">
        <f>L511</f>
        <v>1593.553</v>
      </c>
      <c r="M510" s="833">
        <v>9164.9</v>
      </c>
      <c r="N510" s="833"/>
    </row>
    <row r="511" spans="1:14" ht="49.5" customHeight="1">
      <c r="A511" s="2188" t="s">
        <v>1377</v>
      </c>
      <c r="B511" s="1543">
        <v>968</v>
      </c>
      <c r="C511" s="1543">
        <v>801</v>
      </c>
      <c r="D511" s="1543" t="s">
        <v>1266</v>
      </c>
      <c r="E511" s="107"/>
      <c r="F511" s="305"/>
      <c r="G511" s="305"/>
      <c r="H511" s="650">
        <f t="shared" si="92"/>
        <v>9164.942000000001</v>
      </c>
      <c r="I511" s="777">
        <f aca="true" t="shared" si="93" ref="I511:L512">I512</f>
        <v>2864.475</v>
      </c>
      <c r="J511" s="777">
        <f t="shared" si="93"/>
        <v>3748.0609999999997</v>
      </c>
      <c r="K511" s="777">
        <f t="shared" si="93"/>
        <v>958.8530000000002</v>
      </c>
      <c r="L511" s="650">
        <f t="shared" si="93"/>
        <v>1593.553</v>
      </c>
      <c r="M511" s="833"/>
      <c r="N511" s="833"/>
    </row>
    <row r="512" spans="1:14" ht="16.5" customHeight="1">
      <c r="A512" s="310" t="s">
        <v>1158</v>
      </c>
      <c r="B512" s="1085">
        <v>968</v>
      </c>
      <c r="C512" s="1085">
        <v>801</v>
      </c>
      <c r="D512" s="1085" t="s">
        <v>1266</v>
      </c>
      <c r="E512" s="1085">
        <v>500</v>
      </c>
      <c r="F512" s="1079">
        <v>200</v>
      </c>
      <c r="G512" s="305"/>
      <c r="H512" s="650">
        <f t="shared" si="92"/>
        <v>9164.942000000001</v>
      </c>
      <c r="I512" s="777">
        <f t="shared" si="93"/>
        <v>2864.475</v>
      </c>
      <c r="J512" s="777">
        <f t="shared" si="93"/>
        <v>3748.0609999999997</v>
      </c>
      <c r="K512" s="777">
        <f t="shared" si="93"/>
        <v>958.8530000000002</v>
      </c>
      <c r="L512" s="650">
        <f t="shared" si="93"/>
        <v>1593.553</v>
      </c>
      <c r="M512" s="833"/>
      <c r="N512" s="833"/>
    </row>
    <row r="513" spans="1:14" ht="12.75">
      <c r="A513" s="1078" t="s">
        <v>1002</v>
      </c>
      <c r="B513" s="1085">
        <v>968</v>
      </c>
      <c r="C513" s="1085">
        <v>801</v>
      </c>
      <c r="D513" s="1085" t="s">
        <v>1266</v>
      </c>
      <c r="E513" s="1085">
        <v>500</v>
      </c>
      <c r="F513" s="1079">
        <v>244</v>
      </c>
      <c r="G513" s="1079"/>
      <c r="H513" s="1086">
        <f>H514+H517</f>
        <v>9164.942</v>
      </c>
      <c r="I513" s="1086">
        <f>I514+I517</f>
        <v>2864.475</v>
      </c>
      <c r="J513" s="1086">
        <f>J514+J517</f>
        <v>3748.0609999999997</v>
      </c>
      <c r="K513" s="1086">
        <f>K514+K517</f>
        <v>958.8530000000002</v>
      </c>
      <c r="L513" s="1086">
        <f>L514+L517</f>
        <v>1593.553</v>
      </c>
      <c r="M513" s="833"/>
      <c r="N513" s="833"/>
    </row>
    <row r="514" spans="1:14" ht="12.75">
      <c r="A514" s="288" t="s">
        <v>326</v>
      </c>
      <c r="B514" s="97">
        <v>968</v>
      </c>
      <c r="C514" s="97">
        <v>801</v>
      </c>
      <c r="D514" s="97" t="s">
        <v>1266</v>
      </c>
      <c r="E514" s="97">
        <v>500</v>
      </c>
      <c r="F514" s="302">
        <v>244</v>
      </c>
      <c r="G514" s="302">
        <v>200</v>
      </c>
      <c r="H514" s="1534">
        <f>H515+H516</f>
        <v>9164.942</v>
      </c>
      <c r="I514" s="1534">
        <f>I515+I516</f>
        <v>2864.475</v>
      </c>
      <c r="J514" s="1534">
        <f>J515+J516</f>
        <v>3748.0609999999997</v>
      </c>
      <c r="K514" s="1534">
        <f>K515+K516</f>
        <v>958.8530000000002</v>
      </c>
      <c r="L514" s="1534">
        <f>L515+L516</f>
        <v>1593.553</v>
      </c>
      <c r="M514" s="833">
        <v>9164.9</v>
      </c>
      <c r="N514" s="833"/>
    </row>
    <row r="515" spans="1:14" ht="12.75">
      <c r="A515" s="291" t="s">
        <v>329</v>
      </c>
      <c r="B515" s="298">
        <v>968</v>
      </c>
      <c r="C515" s="298">
        <v>801</v>
      </c>
      <c r="D515" s="298" t="s">
        <v>1266</v>
      </c>
      <c r="E515" s="298">
        <v>500</v>
      </c>
      <c r="F515" s="304">
        <v>244</v>
      </c>
      <c r="G515" s="304">
        <v>226</v>
      </c>
      <c r="H515" s="1532">
        <f>SUM(I515:L515)</f>
        <v>4450.714999999999</v>
      </c>
      <c r="I515" s="1533">
        <f>1805.5-31.5-435.78+20.28+565.286</f>
        <v>1923.786</v>
      </c>
      <c r="J515" s="1532">
        <f>2630-33+600-617-350+1.714-25.585</f>
        <v>2206.129</v>
      </c>
      <c r="K515" s="1532">
        <f>742-13-55-506.7+25.35</f>
        <v>192.65</v>
      </c>
      <c r="L515" s="1532">
        <f>259-105.5-25.35</f>
        <v>128.15</v>
      </c>
      <c r="M515" s="833">
        <v>4450.7</v>
      </c>
      <c r="N515" s="833"/>
    </row>
    <row r="516" spans="1:14" ht="12.75">
      <c r="A516" s="290" t="s">
        <v>224</v>
      </c>
      <c r="B516" s="297">
        <v>968</v>
      </c>
      <c r="C516" s="297">
        <v>801</v>
      </c>
      <c r="D516" s="297" t="s">
        <v>1266</v>
      </c>
      <c r="E516" s="297">
        <v>500</v>
      </c>
      <c r="F516" s="303">
        <v>244</v>
      </c>
      <c r="G516" s="303">
        <v>290</v>
      </c>
      <c r="H516" s="2249">
        <f>SUM(I516:L516)</f>
        <v>4714.227</v>
      </c>
      <c r="I516" s="2248">
        <f>1131+83.5-60.42-20.28-193.111</f>
        <v>940.689</v>
      </c>
      <c r="J516" s="2249">
        <f>1755-600+198+222.111+73.85-107.029</f>
        <v>1541.9319999999998</v>
      </c>
      <c r="K516" s="2249">
        <f>1368-470+191.293-323.09</f>
        <v>766.2030000000002</v>
      </c>
      <c r="L516" s="2249">
        <f>1447+18.375+35.028-35</f>
        <v>1465.403</v>
      </c>
      <c r="M516" s="833">
        <v>4714.2</v>
      </c>
      <c r="N516" s="833"/>
    </row>
    <row r="517" spans="1:14" ht="12.75" hidden="1">
      <c r="A517" s="288" t="s">
        <v>330</v>
      </c>
      <c r="B517" s="97">
        <v>968</v>
      </c>
      <c r="C517" s="97">
        <v>801</v>
      </c>
      <c r="D517" s="97" t="s">
        <v>223</v>
      </c>
      <c r="E517" s="97">
        <v>500</v>
      </c>
      <c r="F517" s="302"/>
      <c r="G517" s="302">
        <v>300</v>
      </c>
      <c r="H517" s="2199">
        <f>H518</f>
        <v>0</v>
      </c>
      <c r="I517" s="2199">
        <f>I518</f>
        <v>0</v>
      </c>
      <c r="J517" s="2199">
        <f>J518</f>
        <v>0</v>
      </c>
      <c r="K517" s="2199">
        <f>K518</f>
        <v>0</v>
      </c>
      <c r="L517" s="2199">
        <f>L518</f>
        <v>0</v>
      </c>
      <c r="M517" s="833"/>
      <c r="N517" s="833"/>
    </row>
    <row r="518" spans="1:14" ht="12.75" hidden="1">
      <c r="A518" s="291" t="s">
        <v>226</v>
      </c>
      <c r="B518" s="298">
        <v>968</v>
      </c>
      <c r="C518" s="298">
        <v>801</v>
      </c>
      <c r="D518" s="298" t="s">
        <v>223</v>
      </c>
      <c r="E518" s="298">
        <v>500</v>
      </c>
      <c r="F518" s="304"/>
      <c r="G518" s="304">
        <v>340</v>
      </c>
      <c r="H518" s="2199">
        <f>SUM(I518:L518)</f>
        <v>0</v>
      </c>
      <c r="I518" s="2200">
        <v>0</v>
      </c>
      <c r="J518" s="2199">
        <v>0</v>
      </c>
      <c r="K518" s="2199">
        <v>0</v>
      </c>
      <c r="L518" s="2199">
        <v>0</v>
      </c>
      <c r="M518" s="833"/>
      <c r="N518" s="833"/>
    </row>
    <row r="519" spans="1:14" ht="14.25" customHeight="1">
      <c r="A519" s="574" t="s">
        <v>1192</v>
      </c>
      <c r="B519" s="566">
        <v>968</v>
      </c>
      <c r="C519" s="566">
        <v>804</v>
      </c>
      <c r="D519" s="566"/>
      <c r="E519" s="566"/>
      <c r="F519" s="567"/>
      <c r="G519" s="567"/>
      <c r="H519" s="2244">
        <f>SUM(I519:L519)</f>
        <v>1684.9900000000002</v>
      </c>
      <c r="I519" s="2243">
        <f>I520+I526</f>
        <v>468.73</v>
      </c>
      <c r="J519" s="2243">
        <f>J520+J526</f>
        <v>382.505</v>
      </c>
      <c r="K519" s="2243">
        <f>K520+K526</f>
        <v>19.999999999999993</v>
      </c>
      <c r="L519" s="2243">
        <f>L520+L526</f>
        <v>813.7550000000001</v>
      </c>
      <c r="M519" s="833">
        <v>1685</v>
      </c>
      <c r="N519" s="833"/>
    </row>
    <row r="520" spans="1:14" ht="24" customHeight="1">
      <c r="A520" s="310" t="s">
        <v>1375</v>
      </c>
      <c r="B520" s="107">
        <v>968</v>
      </c>
      <c r="C520" s="107">
        <v>804</v>
      </c>
      <c r="D520" s="107" t="str">
        <f>D522</f>
        <v>795 06 00</v>
      </c>
      <c r="E520" s="107"/>
      <c r="F520" s="305"/>
      <c r="G520" s="305"/>
      <c r="H520" s="650">
        <f>SUM(I520:L520)</f>
        <v>1511</v>
      </c>
      <c r="I520" s="777">
        <f>I521</f>
        <v>390</v>
      </c>
      <c r="J520" s="777">
        <f>J521</f>
        <v>307.245</v>
      </c>
      <c r="K520" s="777">
        <f>K521</f>
        <v>0</v>
      </c>
      <c r="L520" s="650">
        <f>L521</f>
        <v>813.7550000000001</v>
      </c>
      <c r="M520" s="833"/>
      <c r="N520" s="833"/>
    </row>
    <row r="521" spans="1:14" ht="12.75">
      <c r="A521" s="310" t="s">
        <v>1158</v>
      </c>
      <c r="B521" s="1085">
        <v>968</v>
      </c>
      <c r="C521" s="1085">
        <v>804</v>
      </c>
      <c r="D521" s="1085" t="str">
        <f>D522</f>
        <v>795 06 00</v>
      </c>
      <c r="E521" s="1085">
        <v>500</v>
      </c>
      <c r="F521" s="1079">
        <v>200</v>
      </c>
      <c r="G521" s="305"/>
      <c r="H521" s="650">
        <f>SUM(I521:L521)</f>
        <v>1511</v>
      </c>
      <c r="I521" s="777">
        <f>I522</f>
        <v>390</v>
      </c>
      <c r="J521" s="777">
        <f aca="true" t="shared" si="94" ref="J521:L523">J522</f>
        <v>307.245</v>
      </c>
      <c r="K521" s="777">
        <f t="shared" si="94"/>
        <v>0</v>
      </c>
      <c r="L521" s="650">
        <f t="shared" si="94"/>
        <v>813.7550000000001</v>
      </c>
      <c r="M521" s="833"/>
      <c r="N521" s="833"/>
    </row>
    <row r="522" spans="1:14" ht="12.75">
      <c r="A522" s="1078" t="s">
        <v>1002</v>
      </c>
      <c r="B522" s="1085">
        <v>968</v>
      </c>
      <c r="C522" s="1085">
        <v>804</v>
      </c>
      <c r="D522" s="1085" t="str">
        <f>D523</f>
        <v>795 06 00</v>
      </c>
      <c r="E522" s="1085">
        <v>500</v>
      </c>
      <c r="F522" s="1079">
        <v>244</v>
      </c>
      <c r="G522" s="1079"/>
      <c r="H522" s="1086">
        <f>SUM(I522:L522)</f>
        <v>1511</v>
      </c>
      <c r="I522" s="1086">
        <f>I523</f>
        <v>390</v>
      </c>
      <c r="J522" s="1086">
        <f t="shared" si="94"/>
        <v>307.245</v>
      </c>
      <c r="K522" s="1086">
        <f t="shared" si="94"/>
        <v>0</v>
      </c>
      <c r="L522" s="1086">
        <f t="shared" si="94"/>
        <v>813.7550000000001</v>
      </c>
      <c r="M522" s="833"/>
      <c r="N522" s="833"/>
    </row>
    <row r="523" spans="1:14" ht="12.75">
      <c r="A523" s="288" t="s">
        <v>326</v>
      </c>
      <c r="B523" s="97">
        <v>968</v>
      </c>
      <c r="C523" s="97">
        <v>804</v>
      </c>
      <c r="D523" s="97" t="str">
        <f>D524</f>
        <v>795 06 00</v>
      </c>
      <c r="E523" s="97">
        <v>500</v>
      </c>
      <c r="F523" s="302">
        <v>244</v>
      </c>
      <c r="G523" s="302">
        <v>200</v>
      </c>
      <c r="H523" s="1534">
        <f>H524+H525</f>
        <v>1511</v>
      </c>
      <c r="I523" s="1534">
        <f>I524</f>
        <v>390</v>
      </c>
      <c r="J523" s="1534">
        <f t="shared" si="94"/>
        <v>307.245</v>
      </c>
      <c r="K523" s="1534">
        <f t="shared" si="94"/>
        <v>0</v>
      </c>
      <c r="L523" s="1534">
        <f t="shared" si="94"/>
        <v>813.7550000000001</v>
      </c>
      <c r="M523" s="833"/>
      <c r="N523" s="833"/>
    </row>
    <row r="524" spans="1:14" ht="12.75">
      <c r="A524" s="291" t="s">
        <v>329</v>
      </c>
      <c r="B524" s="298">
        <v>968</v>
      </c>
      <c r="C524" s="298">
        <v>804</v>
      </c>
      <c r="D524" s="298" t="str">
        <f>D525</f>
        <v>795 06 00</v>
      </c>
      <c r="E524" s="298">
        <v>500</v>
      </c>
      <c r="F524" s="304">
        <v>244</v>
      </c>
      <c r="G524" s="304">
        <v>226</v>
      </c>
      <c r="H524" s="1532">
        <f aca="true" t="shared" si="95" ref="H524:H532">SUM(I524:L524)</f>
        <v>1511</v>
      </c>
      <c r="I524" s="1533">
        <v>390</v>
      </c>
      <c r="J524" s="1532">
        <f>467-159.75-0.005</f>
        <v>307.245</v>
      </c>
      <c r="K524" s="1532">
        <f>565-415-187.55+37.55</f>
        <v>0</v>
      </c>
      <c r="L524" s="1532">
        <f>547-80+187.555+265.45-106.25</f>
        <v>813.7550000000001</v>
      </c>
      <c r="M524" s="833">
        <v>1511</v>
      </c>
      <c r="N524" s="833"/>
    </row>
    <row r="525" spans="1:14" ht="12.75" hidden="1">
      <c r="A525" s="290" t="s">
        <v>224</v>
      </c>
      <c r="B525" s="297">
        <v>968</v>
      </c>
      <c r="C525" s="297">
        <v>804</v>
      </c>
      <c r="D525" s="297" t="s">
        <v>1104</v>
      </c>
      <c r="E525" s="297">
        <v>500</v>
      </c>
      <c r="F525" s="303">
        <v>244</v>
      </c>
      <c r="G525" s="303">
        <v>290</v>
      </c>
      <c r="H525" s="2199">
        <f t="shared" si="95"/>
        <v>0</v>
      </c>
      <c r="I525" s="2200">
        <v>0</v>
      </c>
      <c r="J525" s="2199">
        <v>0</v>
      </c>
      <c r="K525" s="2199">
        <v>0</v>
      </c>
      <c r="L525" s="2199">
        <v>0</v>
      </c>
      <c r="M525" s="833"/>
      <c r="N525" s="833"/>
    </row>
    <row r="526" spans="1:14" ht="24">
      <c r="A526" s="310" t="str">
        <f>Пцс!B55</f>
        <v>Ведомственная целевая программа по военно-патриотическому воспитанию граждан муниципального образования</v>
      </c>
      <c r="B526" s="107">
        <v>968</v>
      </c>
      <c r="C526" s="107">
        <v>804</v>
      </c>
      <c r="D526" s="107" t="str">
        <f>Пцс!C55</f>
        <v>795 08 00</v>
      </c>
      <c r="E526" s="107"/>
      <c r="F526" s="305"/>
      <c r="G526" s="305"/>
      <c r="H526" s="650">
        <f t="shared" si="95"/>
        <v>173.99</v>
      </c>
      <c r="I526" s="777">
        <f aca="true" t="shared" si="96" ref="I526:L528">I527</f>
        <v>78.73</v>
      </c>
      <c r="J526" s="777">
        <f t="shared" si="96"/>
        <v>75.26</v>
      </c>
      <c r="K526" s="777">
        <f t="shared" si="96"/>
        <v>19.999999999999993</v>
      </c>
      <c r="L526" s="650">
        <f t="shared" si="96"/>
        <v>0</v>
      </c>
      <c r="M526" s="833"/>
      <c r="N526" s="833"/>
    </row>
    <row r="527" spans="1:14" ht="12.75">
      <c r="A527" s="310" t="s">
        <v>1158</v>
      </c>
      <c r="B527" s="1085">
        <v>968</v>
      </c>
      <c r="C527" s="1085">
        <v>804</v>
      </c>
      <c r="D527" s="1085" t="s">
        <v>1265</v>
      </c>
      <c r="E527" s="1085">
        <v>500</v>
      </c>
      <c r="F527" s="1079">
        <v>200</v>
      </c>
      <c r="G527" s="305"/>
      <c r="H527" s="650">
        <f t="shared" si="95"/>
        <v>173.99</v>
      </c>
      <c r="I527" s="777">
        <f t="shared" si="96"/>
        <v>78.73</v>
      </c>
      <c r="J527" s="777">
        <f t="shared" si="96"/>
        <v>75.26</v>
      </c>
      <c r="K527" s="777">
        <f t="shared" si="96"/>
        <v>19.999999999999993</v>
      </c>
      <c r="L527" s="650">
        <f t="shared" si="96"/>
        <v>0</v>
      </c>
      <c r="M527" s="833"/>
      <c r="N527" s="833"/>
    </row>
    <row r="528" spans="1:14" ht="12.75">
      <c r="A528" s="1078" t="s">
        <v>1002</v>
      </c>
      <c r="B528" s="1085">
        <v>968</v>
      </c>
      <c r="C528" s="1085">
        <v>804</v>
      </c>
      <c r="D528" s="1085" t="s">
        <v>1265</v>
      </c>
      <c r="E528" s="1085">
        <v>500</v>
      </c>
      <c r="F528" s="1079">
        <v>244</v>
      </c>
      <c r="G528" s="1079"/>
      <c r="H528" s="1086">
        <f t="shared" si="95"/>
        <v>173.99</v>
      </c>
      <c r="I528" s="1086">
        <f>I529</f>
        <v>78.73</v>
      </c>
      <c r="J528" s="1086">
        <f t="shared" si="96"/>
        <v>75.26</v>
      </c>
      <c r="K528" s="1086">
        <f t="shared" si="96"/>
        <v>19.999999999999993</v>
      </c>
      <c r="L528" s="1086">
        <f t="shared" si="96"/>
        <v>0</v>
      </c>
      <c r="M528" s="833"/>
      <c r="N528" s="833"/>
    </row>
    <row r="529" spans="1:14" ht="12.75">
      <c r="A529" s="288" t="s">
        <v>326</v>
      </c>
      <c r="B529" s="97">
        <v>968</v>
      </c>
      <c r="C529" s="97">
        <v>804</v>
      </c>
      <c r="D529" s="97" t="s">
        <v>1265</v>
      </c>
      <c r="E529" s="97">
        <v>500</v>
      </c>
      <c r="F529" s="302">
        <v>244</v>
      </c>
      <c r="G529" s="302">
        <v>200</v>
      </c>
      <c r="H529" s="1534">
        <f t="shared" si="95"/>
        <v>173.99</v>
      </c>
      <c r="I529" s="1534">
        <f>I530</f>
        <v>78.73</v>
      </c>
      <c r="J529" s="1534">
        <f>J530</f>
        <v>75.26</v>
      </c>
      <c r="K529" s="1534">
        <f>K530</f>
        <v>19.999999999999993</v>
      </c>
      <c r="L529" s="1534">
        <f>L530</f>
        <v>0</v>
      </c>
      <c r="M529" s="833"/>
      <c r="N529" s="833"/>
    </row>
    <row r="530" spans="1:14" ht="13.5" thickBot="1">
      <c r="A530" s="291" t="s">
        <v>329</v>
      </c>
      <c r="B530" s="298">
        <v>968</v>
      </c>
      <c r="C530" s="298">
        <v>804</v>
      </c>
      <c r="D530" s="298" t="s">
        <v>1265</v>
      </c>
      <c r="E530" s="298">
        <v>500</v>
      </c>
      <c r="F530" s="304">
        <v>244</v>
      </c>
      <c r="G530" s="304">
        <v>226</v>
      </c>
      <c r="H530" s="1532">
        <f t="shared" si="95"/>
        <v>173.99</v>
      </c>
      <c r="I530" s="1533">
        <f>77+1.73</f>
        <v>78.73</v>
      </c>
      <c r="J530" s="1532">
        <f>77-1.74</f>
        <v>75.26</v>
      </c>
      <c r="K530" s="1532">
        <f>77+1.74-17-41.74</f>
        <v>19.999999999999993</v>
      </c>
      <c r="L530" s="1532">
        <f>1.74-1.74</f>
        <v>0</v>
      </c>
      <c r="M530" s="833">
        <v>174</v>
      </c>
      <c r="N530" s="833"/>
    </row>
    <row r="531" spans="1:14" ht="15.75" thickBot="1">
      <c r="A531" s="569" t="s">
        <v>237</v>
      </c>
      <c r="B531" s="570">
        <v>968</v>
      </c>
      <c r="C531" s="570">
        <v>1000</v>
      </c>
      <c r="D531" s="570"/>
      <c r="E531" s="570"/>
      <c r="F531" s="571"/>
      <c r="G531" s="571"/>
      <c r="H531" s="2246">
        <f t="shared" si="95"/>
        <v>16354.631000000001</v>
      </c>
      <c r="I531" s="2246">
        <f>I532+I538</f>
        <v>4345.606000000001</v>
      </c>
      <c r="J531" s="2246">
        <f>J532+J538</f>
        <v>4424.581999999999</v>
      </c>
      <c r="K531" s="2246">
        <f>K532+K538</f>
        <v>3333.9270000000006</v>
      </c>
      <c r="L531" s="2247">
        <f>L532+L538</f>
        <v>4250.516</v>
      </c>
      <c r="M531" s="833">
        <v>16354.6</v>
      </c>
      <c r="N531" s="833"/>
    </row>
    <row r="532" spans="1:14" ht="15">
      <c r="A532" s="311" t="s">
        <v>899</v>
      </c>
      <c r="B532" s="296">
        <v>968</v>
      </c>
      <c r="C532" s="296">
        <v>1003</v>
      </c>
      <c r="D532" s="296"/>
      <c r="E532" s="296"/>
      <c r="F532" s="301"/>
      <c r="G532" s="301"/>
      <c r="H532" s="2279">
        <f t="shared" si="95"/>
        <v>959.531</v>
      </c>
      <c r="I532" s="2279">
        <f aca="true" t="shared" si="97" ref="I532:L536">I533</f>
        <v>312.731</v>
      </c>
      <c r="J532" s="2279">
        <f t="shared" si="97"/>
        <v>161.70000000000002</v>
      </c>
      <c r="K532" s="2279">
        <f t="shared" si="97"/>
        <v>242.55</v>
      </c>
      <c r="L532" s="2280">
        <f t="shared" si="97"/>
        <v>242.55</v>
      </c>
      <c r="M532" s="833">
        <v>959.5</v>
      </c>
      <c r="N532" s="833"/>
    </row>
    <row r="533" spans="1:14" ht="29.25" customHeight="1">
      <c r="A533" s="310" t="s">
        <v>1023</v>
      </c>
      <c r="B533" s="107">
        <v>968</v>
      </c>
      <c r="C533" s="107">
        <v>1003</v>
      </c>
      <c r="D533" s="647" t="s">
        <v>901</v>
      </c>
      <c r="E533" s="647"/>
      <c r="F533" s="649"/>
      <c r="G533" s="649"/>
      <c r="H533" s="777">
        <f>H535</f>
        <v>959.531</v>
      </c>
      <c r="I533" s="777">
        <f>I534</f>
        <v>312.731</v>
      </c>
      <c r="J533" s="777">
        <f t="shared" si="97"/>
        <v>161.70000000000002</v>
      </c>
      <c r="K533" s="777">
        <f t="shared" si="97"/>
        <v>242.55</v>
      </c>
      <c r="L533" s="650">
        <f t="shared" si="97"/>
        <v>242.55</v>
      </c>
      <c r="M533" s="833"/>
      <c r="N533" s="833"/>
    </row>
    <row r="534" spans="1:14" ht="15" customHeight="1">
      <c r="A534" s="1078" t="s">
        <v>1159</v>
      </c>
      <c r="B534" s="1085">
        <v>968</v>
      </c>
      <c r="C534" s="1085">
        <v>1003</v>
      </c>
      <c r="D534" s="1085" t="s">
        <v>901</v>
      </c>
      <c r="E534" s="1085">
        <v>5</v>
      </c>
      <c r="F534" s="1079">
        <v>300</v>
      </c>
      <c r="G534" s="1748"/>
      <c r="H534" s="1749">
        <f>SUM(I534:L534)</f>
        <v>959.531</v>
      </c>
      <c r="I534" s="1749">
        <f>I535</f>
        <v>312.731</v>
      </c>
      <c r="J534" s="1749">
        <f>J535</f>
        <v>161.70000000000002</v>
      </c>
      <c r="K534" s="1749">
        <f>K535</f>
        <v>242.55</v>
      </c>
      <c r="L534" s="639">
        <f>L535</f>
        <v>242.55</v>
      </c>
      <c r="M534" s="833"/>
      <c r="N534" s="833"/>
    </row>
    <row r="535" spans="1:14" ht="17.25" customHeight="1">
      <c r="A535" s="1078" t="s">
        <v>1236</v>
      </c>
      <c r="B535" s="1085">
        <v>968</v>
      </c>
      <c r="C535" s="1085">
        <v>1003</v>
      </c>
      <c r="D535" s="1080" t="s">
        <v>901</v>
      </c>
      <c r="E535" s="1080">
        <v>5</v>
      </c>
      <c r="F535" s="1081">
        <v>312</v>
      </c>
      <c r="G535" s="1079"/>
      <c r="H535" s="1087">
        <f>SUM(I535:L535)</f>
        <v>959.531</v>
      </c>
      <c r="I535" s="1087">
        <f t="shared" si="97"/>
        <v>312.731</v>
      </c>
      <c r="J535" s="1087">
        <f t="shared" si="97"/>
        <v>161.70000000000002</v>
      </c>
      <c r="K535" s="1087">
        <f t="shared" si="97"/>
        <v>242.55</v>
      </c>
      <c r="L535" s="1086">
        <f t="shared" si="97"/>
        <v>242.55</v>
      </c>
      <c r="M535" s="833"/>
      <c r="N535" s="833"/>
    </row>
    <row r="536" spans="1:14" ht="12.75">
      <c r="A536" s="290" t="s">
        <v>332</v>
      </c>
      <c r="B536" s="297">
        <v>968</v>
      </c>
      <c r="C536" s="297">
        <v>1003</v>
      </c>
      <c r="D536" s="297" t="s">
        <v>901</v>
      </c>
      <c r="E536" s="297">
        <v>5</v>
      </c>
      <c r="F536" s="303">
        <v>312</v>
      </c>
      <c r="G536" s="303">
        <v>260</v>
      </c>
      <c r="H536" s="2248">
        <f>H537</f>
        <v>959.531</v>
      </c>
      <c r="I536" s="2248">
        <f t="shared" si="97"/>
        <v>312.731</v>
      </c>
      <c r="J536" s="2249">
        <f t="shared" si="97"/>
        <v>161.70000000000002</v>
      </c>
      <c r="K536" s="2249">
        <f t="shared" si="97"/>
        <v>242.55</v>
      </c>
      <c r="L536" s="2249">
        <f t="shared" si="97"/>
        <v>242.55</v>
      </c>
      <c r="M536" s="833"/>
      <c r="N536" s="833"/>
    </row>
    <row r="537" spans="1:14" ht="12.75">
      <c r="A537" s="291" t="s">
        <v>902</v>
      </c>
      <c r="B537" s="298">
        <v>968</v>
      </c>
      <c r="C537" s="298">
        <v>1003</v>
      </c>
      <c r="D537" s="298" t="s">
        <v>901</v>
      </c>
      <c r="E537" s="298">
        <v>5</v>
      </c>
      <c r="F537" s="304">
        <v>312</v>
      </c>
      <c r="G537" s="304">
        <v>263</v>
      </c>
      <c r="H537" s="1533">
        <f aca="true" t="shared" si="98" ref="H537:H542">SUM(I537:L537)</f>
        <v>959.531</v>
      </c>
      <c r="I537" s="1533">
        <f>242.55+70.181</f>
        <v>312.731</v>
      </c>
      <c r="J537" s="1532">
        <f>242.55-70.181-10.669</f>
        <v>161.70000000000002</v>
      </c>
      <c r="K537" s="1532">
        <f>242.55+10.669-10.669</f>
        <v>242.55</v>
      </c>
      <c r="L537" s="1532">
        <f>242.55+10.669-10.669</f>
        <v>242.55</v>
      </c>
      <c r="M537" s="833"/>
      <c r="N537" s="833"/>
    </row>
    <row r="538" spans="1:14" ht="16.5" customHeight="1">
      <c r="A538" s="311" t="s">
        <v>648</v>
      </c>
      <c r="B538" s="296">
        <v>968</v>
      </c>
      <c r="C538" s="296">
        <v>1004</v>
      </c>
      <c r="D538" s="296"/>
      <c r="E538" s="296"/>
      <c r="F538" s="301"/>
      <c r="G538" s="301"/>
      <c r="H538" s="2279">
        <f t="shared" si="98"/>
        <v>15395.1</v>
      </c>
      <c r="I538" s="2279">
        <f>I539+I560+I565</f>
        <v>4032.8750000000005</v>
      </c>
      <c r="J538" s="2279">
        <f>J539+J560+J565</f>
        <v>4262.882</v>
      </c>
      <c r="K538" s="2279">
        <f>K539+K560+K565</f>
        <v>3091.3770000000004</v>
      </c>
      <c r="L538" s="2280">
        <f>L539+L560+L565</f>
        <v>4007.966</v>
      </c>
      <c r="M538" s="833">
        <v>15395.1</v>
      </c>
      <c r="N538" s="833"/>
    </row>
    <row r="539" spans="1:14" ht="39.75" customHeight="1">
      <c r="A539" s="310" t="s">
        <v>1277</v>
      </c>
      <c r="B539" s="107">
        <v>968</v>
      </c>
      <c r="C539" s="107">
        <v>1004</v>
      </c>
      <c r="D539" s="647" t="s">
        <v>1278</v>
      </c>
      <c r="E539" s="647"/>
      <c r="F539" s="649"/>
      <c r="G539" s="649"/>
      <c r="H539" s="777">
        <f t="shared" si="98"/>
        <v>3724</v>
      </c>
      <c r="I539" s="777">
        <f>I540+I546</f>
        <v>1090.9750000000001</v>
      </c>
      <c r="J539" s="777">
        <f>J540+J546</f>
        <v>1183.326</v>
      </c>
      <c r="K539" s="777">
        <f>K540+K546</f>
        <v>488.00399999999996</v>
      </c>
      <c r="L539" s="650">
        <f>L540+L546</f>
        <v>961.6949999999999</v>
      </c>
      <c r="M539" s="833">
        <v>3724</v>
      </c>
      <c r="N539" s="833"/>
    </row>
    <row r="540" spans="1:14" ht="35.25" customHeight="1">
      <c r="A540" s="1747" t="s">
        <v>1160</v>
      </c>
      <c r="B540" s="1085">
        <v>968</v>
      </c>
      <c r="C540" s="1085">
        <v>1004</v>
      </c>
      <c r="D540" s="1085" t="s">
        <v>1279</v>
      </c>
      <c r="E540" s="1085">
        <v>598</v>
      </c>
      <c r="F540" s="1085">
        <v>100</v>
      </c>
      <c r="G540" s="649"/>
      <c r="H540" s="777">
        <f t="shared" si="98"/>
        <v>3469.0159999999996</v>
      </c>
      <c r="I540" s="777">
        <f>I541</f>
        <v>1052.275</v>
      </c>
      <c r="J540" s="777">
        <f>J541</f>
        <v>1052.275</v>
      </c>
      <c r="K540" s="777">
        <f>K541</f>
        <v>470.20399999999995</v>
      </c>
      <c r="L540" s="650">
        <f>L541</f>
        <v>894.262</v>
      </c>
      <c r="M540" s="833"/>
      <c r="N540" s="833"/>
    </row>
    <row r="541" spans="1:14" ht="15.75" customHeight="1">
      <c r="A541" s="1078" t="s">
        <v>1016</v>
      </c>
      <c r="B541" s="1085">
        <v>968</v>
      </c>
      <c r="C541" s="1085">
        <v>1004</v>
      </c>
      <c r="D541" s="1080" t="s">
        <v>1279</v>
      </c>
      <c r="E541" s="1080">
        <v>598</v>
      </c>
      <c r="F541" s="1080">
        <v>121</v>
      </c>
      <c r="G541" s="1079"/>
      <c r="H541" s="1087">
        <f t="shared" si="98"/>
        <v>3469.0159999999996</v>
      </c>
      <c r="I541" s="1087">
        <f aca="true" t="shared" si="99" ref="I541:L542">I542</f>
        <v>1052.275</v>
      </c>
      <c r="J541" s="1087">
        <f t="shared" si="99"/>
        <v>1052.275</v>
      </c>
      <c r="K541" s="1087">
        <f t="shared" si="99"/>
        <v>470.20399999999995</v>
      </c>
      <c r="L541" s="1086">
        <f t="shared" si="99"/>
        <v>894.262</v>
      </c>
      <c r="M541" s="833"/>
      <c r="N541" s="833"/>
    </row>
    <row r="542" spans="1:14" ht="16.5" customHeight="1">
      <c r="A542" s="288" t="s">
        <v>326</v>
      </c>
      <c r="B542" s="97">
        <v>968</v>
      </c>
      <c r="C542" s="97">
        <v>1004</v>
      </c>
      <c r="D542" s="97" t="s">
        <v>1278</v>
      </c>
      <c r="E542" s="97">
        <v>598</v>
      </c>
      <c r="F542" s="97">
        <v>121</v>
      </c>
      <c r="G542" s="302">
        <v>200</v>
      </c>
      <c r="H542" s="1535">
        <f t="shared" si="98"/>
        <v>3469.0159999999996</v>
      </c>
      <c r="I542" s="1535">
        <f t="shared" si="99"/>
        <v>1052.275</v>
      </c>
      <c r="J542" s="1535">
        <f t="shared" si="99"/>
        <v>1052.275</v>
      </c>
      <c r="K542" s="1535">
        <f t="shared" si="99"/>
        <v>470.20399999999995</v>
      </c>
      <c r="L542" s="1534">
        <f t="shared" si="99"/>
        <v>894.262</v>
      </c>
      <c r="M542" s="833"/>
      <c r="N542" s="833"/>
    </row>
    <row r="543" spans="1:14" ht="16.5" customHeight="1">
      <c r="A543" s="290" t="s">
        <v>323</v>
      </c>
      <c r="B543" s="297">
        <v>968</v>
      </c>
      <c r="C543" s="297">
        <v>1004</v>
      </c>
      <c r="D543" s="297" t="s">
        <v>1278</v>
      </c>
      <c r="E543" s="297">
        <v>598</v>
      </c>
      <c r="F543" s="297">
        <v>121</v>
      </c>
      <c r="G543" s="303">
        <v>210</v>
      </c>
      <c r="H543" s="2248">
        <f>SUM(H544:H545)</f>
        <v>3469.016</v>
      </c>
      <c r="I543" s="2248">
        <f>SUM(I544:I545)</f>
        <v>1052.275</v>
      </c>
      <c r="J543" s="2269">
        <f>SUM(J544:J545)</f>
        <v>1052.275</v>
      </c>
      <c r="K543" s="2270">
        <f>SUM(K544:K545)</f>
        <v>470.20399999999995</v>
      </c>
      <c r="L543" s="2270">
        <f>SUM(L544:L545)</f>
        <v>894.262</v>
      </c>
      <c r="M543" s="833">
        <v>3469</v>
      </c>
      <c r="N543" s="833"/>
    </row>
    <row r="544" spans="1:14" ht="16.5" customHeight="1">
      <c r="A544" s="291" t="s">
        <v>105</v>
      </c>
      <c r="B544" s="298">
        <v>968</v>
      </c>
      <c r="C544" s="298">
        <v>1004</v>
      </c>
      <c r="D544" s="298" t="s">
        <v>1278</v>
      </c>
      <c r="E544" s="298">
        <v>598</v>
      </c>
      <c r="F544" s="298">
        <v>121</v>
      </c>
      <c r="G544" s="304">
        <v>211</v>
      </c>
      <c r="H544" s="1533">
        <f aca="true" t="shared" si="100" ref="H544:H552">SUM(I544:L544)</f>
        <v>2664.375</v>
      </c>
      <c r="I544" s="1533">
        <v>808.194</v>
      </c>
      <c r="J544" s="2165">
        <v>808.194</v>
      </c>
      <c r="K544" s="2271">
        <f>808.194-284.201-160.858</f>
        <v>363.13499999999993</v>
      </c>
      <c r="L544" s="1532">
        <f>808.194-284.2+160.858</f>
        <v>684.8519999999999</v>
      </c>
      <c r="M544" s="833">
        <v>2664.4</v>
      </c>
      <c r="N544" s="833"/>
    </row>
    <row r="545" spans="1:14" ht="16.5" customHeight="1">
      <c r="A545" s="291" t="s">
        <v>325</v>
      </c>
      <c r="B545" s="298">
        <v>968</v>
      </c>
      <c r="C545" s="298">
        <v>1004</v>
      </c>
      <c r="D545" s="298" t="s">
        <v>1278</v>
      </c>
      <c r="E545" s="298">
        <v>598</v>
      </c>
      <c r="F545" s="298">
        <v>121</v>
      </c>
      <c r="G545" s="304">
        <v>213</v>
      </c>
      <c r="H545" s="1533">
        <f t="shared" si="100"/>
        <v>804.6410000000001</v>
      </c>
      <c r="I545" s="2272">
        <f>244.074+0.007</f>
        <v>244.08100000000002</v>
      </c>
      <c r="J545" s="2272">
        <f>244.074+0.007</f>
        <v>244.08100000000002</v>
      </c>
      <c r="K545" s="2273">
        <f>244.074+0.007-85.858-51.154</f>
        <v>107.06900000000002</v>
      </c>
      <c r="L545" s="2273">
        <f>244.074+0.007-85.825+51.154</f>
        <v>209.41000000000003</v>
      </c>
      <c r="M545" s="833">
        <v>804.6</v>
      </c>
      <c r="N545" s="833"/>
    </row>
    <row r="546" spans="1:14" ht="16.5" customHeight="1">
      <c r="A546" s="310" t="s">
        <v>1158</v>
      </c>
      <c r="B546" s="1550">
        <v>968</v>
      </c>
      <c r="C546" s="1550">
        <v>1004</v>
      </c>
      <c r="D546" s="1550" t="s">
        <v>1278</v>
      </c>
      <c r="E546" s="297"/>
      <c r="F546" s="1551">
        <v>200</v>
      </c>
      <c r="G546" s="303"/>
      <c r="H546" s="1087">
        <f t="shared" si="100"/>
        <v>254.98399999999998</v>
      </c>
      <c r="I546" s="1087">
        <f>I547+I553</f>
        <v>38.7</v>
      </c>
      <c r="J546" s="1087">
        <f>J547+J553</f>
        <v>131.051</v>
      </c>
      <c r="K546" s="1087">
        <f>K547+K553</f>
        <v>17.800000000000004</v>
      </c>
      <c r="L546" s="1087">
        <f>L547+L553</f>
        <v>67.433</v>
      </c>
      <c r="M546" s="833">
        <v>255</v>
      </c>
      <c r="N546" s="833"/>
    </row>
    <row r="547" spans="1:14" ht="26.25" customHeight="1">
      <c r="A547" s="1078" t="s">
        <v>1019</v>
      </c>
      <c r="B547" s="1085">
        <v>968</v>
      </c>
      <c r="C547" s="1085">
        <v>1004</v>
      </c>
      <c r="D547" s="1085" t="s">
        <v>1278</v>
      </c>
      <c r="E547" s="298"/>
      <c r="F547" s="1079">
        <v>242</v>
      </c>
      <c r="G547" s="304"/>
      <c r="H547" s="1087">
        <f t="shared" si="100"/>
        <v>75</v>
      </c>
      <c r="I547" s="1087">
        <f>I548+I551</f>
        <v>0</v>
      </c>
      <c r="J547" s="1087">
        <f>J548+J551</f>
        <v>75</v>
      </c>
      <c r="K547" s="1087">
        <f>K548+K551</f>
        <v>0</v>
      </c>
      <c r="L547" s="1087">
        <f>L548+L551</f>
        <v>0</v>
      </c>
      <c r="M547" s="833">
        <v>75</v>
      </c>
      <c r="N547" s="833"/>
    </row>
    <row r="548" spans="1:14" ht="16.5" customHeight="1">
      <c r="A548" s="288" t="s">
        <v>326</v>
      </c>
      <c r="B548" s="97">
        <v>968</v>
      </c>
      <c r="C548" s="97">
        <v>1004</v>
      </c>
      <c r="D548" s="97" t="s">
        <v>1278</v>
      </c>
      <c r="E548" s="97">
        <v>598</v>
      </c>
      <c r="F548" s="97">
        <v>242</v>
      </c>
      <c r="G548" s="302">
        <v>200</v>
      </c>
      <c r="H548" s="2274">
        <f t="shared" si="100"/>
        <v>53</v>
      </c>
      <c r="I548" s="2274">
        <f aca="true" t="shared" si="101" ref="I548:K549">I549</f>
        <v>0</v>
      </c>
      <c r="J548" s="2274">
        <f t="shared" si="101"/>
        <v>53</v>
      </c>
      <c r="K548" s="2274">
        <f t="shared" si="101"/>
        <v>0</v>
      </c>
      <c r="L548" s="2261">
        <f>L550</f>
        <v>0</v>
      </c>
      <c r="M548" s="833"/>
      <c r="N548" s="833"/>
    </row>
    <row r="549" spans="1:14" ht="16.5" customHeight="1">
      <c r="A549" s="290" t="s">
        <v>327</v>
      </c>
      <c r="B549" s="297">
        <v>968</v>
      </c>
      <c r="C549" s="297">
        <v>1004</v>
      </c>
      <c r="D549" s="297" t="s">
        <v>1278</v>
      </c>
      <c r="E549" s="297">
        <v>598</v>
      </c>
      <c r="F549" s="297">
        <v>242</v>
      </c>
      <c r="G549" s="303">
        <v>220</v>
      </c>
      <c r="H549" s="2248">
        <f t="shared" si="100"/>
        <v>53</v>
      </c>
      <c r="I549" s="2248">
        <f t="shared" si="101"/>
        <v>0</v>
      </c>
      <c r="J549" s="2248">
        <f t="shared" si="101"/>
        <v>53</v>
      </c>
      <c r="K549" s="2248">
        <f t="shared" si="101"/>
        <v>0</v>
      </c>
      <c r="L549" s="2248">
        <f>L550</f>
        <v>0</v>
      </c>
      <c r="M549" s="833"/>
      <c r="N549" s="833"/>
    </row>
    <row r="550" spans="1:14" ht="16.5" customHeight="1">
      <c r="A550" s="291" t="s">
        <v>329</v>
      </c>
      <c r="B550" s="298">
        <v>968</v>
      </c>
      <c r="C550" s="298">
        <v>1004</v>
      </c>
      <c r="D550" s="298" t="s">
        <v>1280</v>
      </c>
      <c r="E550" s="298">
        <v>598</v>
      </c>
      <c r="F550" s="298">
        <v>242</v>
      </c>
      <c r="G550" s="304">
        <v>226</v>
      </c>
      <c r="H550" s="1533">
        <f t="shared" si="100"/>
        <v>53</v>
      </c>
      <c r="I550" s="1533">
        <v>0</v>
      </c>
      <c r="J550" s="1533">
        <f>56.731-3.731</f>
        <v>53</v>
      </c>
      <c r="K550" s="1532">
        <v>0</v>
      </c>
      <c r="L550" s="1532">
        <v>0</v>
      </c>
      <c r="M550" s="833">
        <v>53</v>
      </c>
      <c r="N550" s="833"/>
    </row>
    <row r="551" spans="1:14" ht="16.5" customHeight="1">
      <c r="A551" s="288" t="s">
        <v>330</v>
      </c>
      <c r="B551" s="97">
        <v>968</v>
      </c>
      <c r="C551" s="97">
        <v>1004</v>
      </c>
      <c r="D551" s="97" t="s">
        <v>1278</v>
      </c>
      <c r="E551" s="97">
        <v>598</v>
      </c>
      <c r="F551" s="97">
        <v>242</v>
      </c>
      <c r="G551" s="302">
        <v>300</v>
      </c>
      <c r="H551" s="1535">
        <f t="shared" si="100"/>
        <v>22</v>
      </c>
      <c r="I551" s="1535">
        <f>I552</f>
        <v>0</v>
      </c>
      <c r="J551" s="1535">
        <f>J552</f>
        <v>22</v>
      </c>
      <c r="K551" s="1535">
        <f>K552</f>
        <v>0</v>
      </c>
      <c r="L551" s="1535">
        <f>L552</f>
        <v>0</v>
      </c>
      <c r="M551" s="833"/>
      <c r="N551" s="833"/>
    </row>
    <row r="552" spans="1:14" ht="16.5" customHeight="1">
      <c r="A552" s="290" t="s">
        <v>225</v>
      </c>
      <c r="B552" s="297">
        <v>968</v>
      </c>
      <c r="C552" s="297">
        <v>1004</v>
      </c>
      <c r="D552" s="297" t="s">
        <v>1278</v>
      </c>
      <c r="E552" s="297">
        <v>598</v>
      </c>
      <c r="F552" s="297">
        <v>242</v>
      </c>
      <c r="G552" s="303">
        <v>310</v>
      </c>
      <c r="H552" s="2248">
        <f t="shared" si="100"/>
        <v>22</v>
      </c>
      <c r="I552" s="2248">
        <f>57.3-57.3</f>
        <v>0</v>
      </c>
      <c r="J552" s="1535">
        <v>22</v>
      </c>
      <c r="K552" s="1534">
        <v>0</v>
      </c>
      <c r="L552" s="1534">
        <v>0</v>
      </c>
      <c r="M552" s="833">
        <v>22</v>
      </c>
      <c r="N552" s="833"/>
    </row>
    <row r="553" spans="1:14" ht="16.5" customHeight="1">
      <c r="A553" s="1078" t="s">
        <v>1002</v>
      </c>
      <c r="B553" s="1085">
        <v>968</v>
      </c>
      <c r="C553" s="1085">
        <v>1004</v>
      </c>
      <c r="D553" s="1085" t="s">
        <v>1278</v>
      </c>
      <c r="E553" s="298"/>
      <c r="F553" s="1079">
        <v>244</v>
      </c>
      <c r="G553" s="304"/>
      <c r="H553" s="1087">
        <f aca="true" t="shared" si="102" ref="H553:H559">SUM(I553:L553)</f>
        <v>179.98400000000004</v>
      </c>
      <c r="I553" s="1087">
        <f>I554+I557</f>
        <v>38.7</v>
      </c>
      <c r="J553" s="1087">
        <f>J554+J557</f>
        <v>56.051</v>
      </c>
      <c r="K553" s="1087">
        <f>K554+K557</f>
        <v>17.800000000000004</v>
      </c>
      <c r="L553" s="1086">
        <f>L554+L557</f>
        <v>67.433</v>
      </c>
      <c r="M553" s="833">
        <v>180</v>
      </c>
      <c r="N553" s="833"/>
    </row>
    <row r="554" spans="1:14" ht="16.5" customHeight="1">
      <c r="A554" s="288" t="s">
        <v>326</v>
      </c>
      <c r="B554" s="97">
        <v>968</v>
      </c>
      <c r="C554" s="97">
        <v>1004</v>
      </c>
      <c r="D554" s="97" t="s">
        <v>1278</v>
      </c>
      <c r="E554" s="97">
        <v>598</v>
      </c>
      <c r="F554" s="97">
        <v>244</v>
      </c>
      <c r="G554" s="302">
        <v>200</v>
      </c>
      <c r="H554" s="2274">
        <f t="shared" si="102"/>
        <v>154.8</v>
      </c>
      <c r="I554" s="2274">
        <f aca="true" t="shared" si="103" ref="I554:L555">I555</f>
        <v>38.7</v>
      </c>
      <c r="J554" s="2274">
        <f t="shared" si="103"/>
        <v>38.7</v>
      </c>
      <c r="K554" s="2274">
        <f t="shared" si="103"/>
        <v>17.800000000000004</v>
      </c>
      <c r="L554" s="2261">
        <f t="shared" si="103"/>
        <v>59.6</v>
      </c>
      <c r="M554" s="833"/>
      <c r="N554" s="833"/>
    </row>
    <row r="555" spans="1:14" ht="16.5" customHeight="1">
      <c r="A555" s="290" t="s">
        <v>327</v>
      </c>
      <c r="B555" s="297">
        <v>968</v>
      </c>
      <c r="C555" s="297">
        <v>1004</v>
      </c>
      <c r="D555" s="297" t="s">
        <v>1278</v>
      </c>
      <c r="E555" s="297">
        <v>598</v>
      </c>
      <c r="F555" s="297">
        <v>244</v>
      </c>
      <c r="G555" s="303">
        <v>220</v>
      </c>
      <c r="H555" s="2248">
        <f t="shared" si="102"/>
        <v>154.8</v>
      </c>
      <c r="I555" s="2248">
        <f t="shared" si="103"/>
        <v>38.7</v>
      </c>
      <c r="J555" s="2248">
        <f t="shared" si="103"/>
        <v>38.7</v>
      </c>
      <c r="K555" s="2249">
        <f t="shared" si="103"/>
        <v>17.800000000000004</v>
      </c>
      <c r="L555" s="2249">
        <f t="shared" si="103"/>
        <v>59.6</v>
      </c>
      <c r="M555" s="833"/>
      <c r="N555" s="833"/>
    </row>
    <row r="556" spans="1:14" ht="16.5" customHeight="1">
      <c r="A556" s="291" t="s">
        <v>111</v>
      </c>
      <c r="B556" s="298">
        <v>968</v>
      </c>
      <c r="C556" s="298">
        <v>1004</v>
      </c>
      <c r="D556" s="298" t="s">
        <v>1280</v>
      </c>
      <c r="E556" s="298">
        <v>598</v>
      </c>
      <c r="F556" s="298">
        <v>244</v>
      </c>
      <c r="G556" s="304">
        <v>222</v>
      </c>
      <c r="H556" s="1533">
        <f t="shared" si="102"/>
        <v>154.8</v>
      </c>
      <c r="I556" s="1533">
        <v>38.7</v>
      </c>
      <c r="J556" s="1533">
        <v>38.7</v>
      </c>
      <c r="K556" s="1532">
        <f>38.7-20.9</f>
        <v>17.800000000000004</v>
      </c>
      <c r="L556" s="1532">
        <f>38.7+20.9</f>
        <v>59.6</v>
      </c>
      <c r="M556" s="833">
        <v>154.8</v>
      </c>
      <c r="N556" s="833"/>
    </row>
    <row r="557" spans="1:14" ht="16.5" customHeight="1">
      <c r="A557" s="288" t="s">
        <v>330</v>
      </c>
      <c r="B557" s="97">
        <v>968</v>
      </c>
      <c r="C557" s="97">
        <v>1004</v>
      </c>
      <c r="D557" s="97" t="s">
        <v>1278</v>
      </c>
      <c r="E557" s="97">
        <v>598</v>
      </c>
      <c r="F557" s="97">
        <v>244</v>
      </c>
      <c r="G557" s="302">
        <v>300</v>
      </c>
      <c r="H557" s="1535">
        <f t="shared" si="102"/>
        <v>25.183999999999997</v>
      </c>
      <c r="I557" s="1535">
        <f>SUM(I558:I559)</f>
        <v>0</v>
      </c>
      <c r="J557" s="1535">
        <f>SUM(J558:J559)</f>
        <v>17.350999999999996</v>
      </c>
      <c r="K557" s="1535">
        <f>SUM(K558:K559)</f>
        <v>0</v>
      </c>
      <c r="L557" s="1534">
        <f>SUM(L558:L559)</f>
        <v>7.833</v>
      </c>
      <c r="M557" s="833"/>
      <c r="N557" s="833"/>
    </row>
    <row r="558" spans="1:14" ht="16.5" customHeight="1" hidden="1">
      <c r="A558" s="290" t="s">
        <v>225</v>
      </c>
      <c r="B558" s="297">
        <v>968</v>
      </c>
      <c r="C558" s="297">
        <v>1004</v>
      </c>
      <c r="D558" s="297" t="s">
        <v>1278</v>
      </c>
      <c r="E558" s="297">
        <v>598</v>
      </c>
      <c r="F558" s="297">
        <v>244</v>
      </c>
      <c r="G558" s="303">
        <v>310</v>
      </c>
      <c r="H558" s="2248">
        <f t="shared" si="102"/>
        <v>0</v>
      </c>
      <c r="I558" s="2248">
        <f>57.3-57.3</f>
        <v>0</v>
      </c>
      <c r="J558" s="1535">
        <f>75.6-75.6</f>
        <v>0</v>
      </c>
      <c r="K558" s="1534">
        <v>0</v>
      </c>
      <c r="L558" s="1534">
        <v>0</v>
      </c>
      <c r="M558" s="833"/>
      <c r="N558" s="833"/>
    </row>
    <row r="559" spans="1:14" ht="16.5" customHeight="1">
      <c r="A559" s="290" t="s">
        <v>226</v>
      </c>
      <c r="B559" s="297">
        <v>968</v>
      </c>
      <c r="C559" s="297">
        <v>1004</v>
      </c>
      <c r="D559" s="297" t="s">
        <v>1278</v>
      </c>
      <c r="E559" s="297">
        <v>598</v>
      </c>
      <c r="F559" s="297">
        <v>244</v>
      </c>
      <c r="G559" s="303">
        <v>340</v>
      </c>
      <c r="H559" s="2248">
        <f t="shared" si="102"/>
        <v>25.183999999999997</v>
      </c>
      <c r="I559" s="2248">
        <f>57.3-57.3</f>
        <v>0</v>
      </c>
      <c r="J559" s="2248">
        <f>75.6-3.131-51.016-4.102</f>
        <v>17.350999999999996</v>
      </c>
      <c r="K559" s="2249">
        <f>3.731-3.731</f>
        <v>0</v>
      </c>
      <c r="L559" s="2249">
        <f>3.731+4.102</f>
        <v>7.833</v>
      </c>
      <c r="M559" s="833">
        <v>25.2</v>
      </c>
      <c r="N559" s="833"/>
    </row>
    <row r="560" spans="1:14" ht="33.75" customHeight="1">
      <c r="A560" s="310" t="s">
        <v>1281</v>
      </c>
      <c r="B560" s="107">
        <v>968</v>
      </c>
      <c r="C560" s="107">
        <v>1004</v>
      </c>
      <c r="D560" s="107" t="s">
        <v>1282</v>
      </c>
      <c r="E560" s="107"/>
      <c r="F560" s="305"/>
      <c r="G560" s="305"/>
      <c r="H560" s="777">
        <f>H562</f>
        <v>8777.5</v>
      </c>
      <c r="I560" s="2281">
        <f aca="true" t="shared" si="104" ref="I560:L563">I561</f>
        <v>2315</v>
      </c>
      <c r="J560" s="2282">
        <f t="shared" si="104"/>
        <v>2314.9</v>
      </c>
      <c r="K560" s="2282">
        <f t="shared" si="104"/>
        <v>1912.122</v>
      </c>
      <c r="L560" s="2283">
        <f t="shared" si="104"/>
        <v>2235.478</v>
      </c>
      <c r="M560" s="833">
        <v>8777.5</v>
      </c>
      <c r="N560" s="833"/>
    </row>
    <row r="561" spans="1:14" ht="16.5" customHeight="1">
      <c r="A561" s="1078" t="s">
        <v>1159</v>
      </c>
      <c r="B561" s="1085">
        <v>968</v>
      </c>
      <c r="C561" s="1085">
        <v>1004</v>
      </c>
      <c r="D561" s="1085" t="s">
        <v>1282</v>
      </c>
      <c r="E561" s="1085">
        <v>598</v>
      </c>
      <c r="F561" s="1085">
        <v>300</v>
      </c>
      <c r="G561" s="305"/>
      <c r="H561" s="777">
        <f>SUM(I561:L561)</f>
        <v>8777.5</v>
      </c>
      <c r="I561" s="2281">
        <f t="shared" si="104"/>
        <v>2315</v>
      </c>
      <c r="J561" s="2282">
        <f t="shared" si="104"/>
        <v>2314.9</v>
      </c>
      <c r="K561" s="2282">
        <f t="shared" si="104"/>
        <v>1912.122</v>
      </c>
      <c r="L561" s="2283">
        <f t="shared" si="104"/>
        <v>2235.478</v>
      </c>
      <c r="M561" s="833"/>
      <c r="N561" s="833"/>
    </row>
    <row r="562" spans="1:14" ht="24" customHeight="1">
      <c r="A562" s="1078" t="s">
        <v>1121</v>
      </c>
      <c r="B562" s="1085">
        <v>968</v>
      </c>
      <c r="C562" s="1085">
        <v>1004</v>
      </c>
      <c r="D562" s="1085" t="s">
        <v>1282</v>
      </c>
      <c r="E562" s="1085">
        <v>598</v>
      </c>
      <c r="F562" s="1085">
        <v>313</v>
      </c>
      <c r="G562" s="1079"/>
      <c r="H562" s="1087">
        <f>H563</f>
        <v>8777.5</v>
      </c>
      <c r="I562" s="2284">
        <f t="shared" si="104"/>
        <v>2315</v>
      </c>
      <c r="J562" s="1765">
        <f t="shared" si="104"/>
        <v>2314.9</v>
      </c>
      <c r="K562" s="1765">
        <f t="shared" si="104"/>
        <v>1912.122</v>
      </c>
      <c r="L562" s="1865">
        <f t="shared" si="104"/>
        <v>2235.478</v>
      </c>
      <c r="M562" s="833"/>
      <c r="N562" s="833"/>
    </row>
    <row r="563" spans="1:14" ht="12.75">
      <c r="A563" s="290" t="s">
        <v>332</v>
      </c>
      <c r="B563" s="297">
        <v>968</v>
      </c>
      <c r="C563" s="297">
        <v>1004</v>
      </c>
      <c r="D563" s="297" t="s">
        <v>1282</v>
      </c>
      <c r="E563" s="297">
        <v>598</v>
      </c>
      <c r="F563" s="297">
        <v>313</v>
      </c>
      <c r="G563" s="303">
        <v>260</v>
      </c>
      <c r="H563" s="2248">
        <f>H564</f>
        <v>8777.5</v>
      </c>
      <c r="I563" s="2285">
        <f t="shared" si="104"/>
        <v>2315</v>
      </c>
      <c r="J563" s="2286">
        <f t="shared" si="104"/>
        <v>2314.9</v>
      </c>
      <c r="K563" s="2286">
        <f t="shared" si="104"/>
        <v>1912.122</v>
      </c>
      <c r="L563" s="2287">
        <f t="shared" si="104"/>
        <v>2235.478</v>
      </c>
      <c r="M563" s="833"/>
      <c r="N563" s="833"/>
    </row>
    <row r="564" spans="1:14" ht="12.75">
      <c r="A564" s="291" t="s">
        <v>333</v>
      </c>
      <c r="B564" s="298">
        <v>968</v>
      </c>
      <c r="C564" s="298">
        <v>1004</v>
      </c>
      <c r="D564" s="298" t="s">
        <v>1282</v>
      </c>
      <c r="E564" s="298">
        <v>598</v>
      </c>
      <c r="F564" s="298">
        <v>313</v>
      </c>
      <c r="G564" s="304">
        <v>262</v>
      </c>
      <c r="H564" s="1533">
        <f>SUM(I564:L564)</f>
        <v>8777.5</v>
      </c>
      <c r="I564" s="2288">
        <v>2315</v>
      </c>
      <c r="J564" s="2165">
        <v>2314.9</v>
      </c>
      <c r="K564" s="2165">
        <f>2315-402.878</f>
        <v>1912.122</v>
      </c>
      <c r="L564" s="2237">
        <f>2314.9+402.878-482.3</f>
        <v>2235.478</v>
      </c>
      <c r="M564" s="833">
        <v>8777.5</v>
      </c>
      <c r="N564" s="833"/>
    </row>
    <row r="565" spans="1:14" ht="33.75" customHeight="1">
      <c r="A565" s="310" t="s">
        <v>1283</v>
      </c>
      <c r="B565" s="107">
        <v>968</v>
      </c>
      <c r="C565" s="107">
        <v>1004</v>
      </c>
      <c r="D565" s="107" t="s">
        <v>1284</v>
      </c>
      <c r="E565" s="107"/>
      <c r="F565" s="107"/>
      <c r="G565" s="305"/>
      <c r="H565" s="777">
        <f>H567</f>
        <v>2893.6</v>
      </c>
      <c r="I565" s="2281">
        <f aca="true" t="shared" si="105" ref="I565:L566">I566</f>
        <v>626.9</v>
      </c>
      <c r="J565" s="2282">
        <f t="shared" si="105"/>
        <v>764.656</v>
      </c>
      <c r="K565" s="2282">
        <f t="shared" si="105"/>
        <v>691.251</v>
      </c>
      <c r="L565" s="2283">
        <f t="shared" si="105"/>
        <v>810.7930000000001</v>
      </c>
      <c r="M565" s="833">
        <v>2893.6</v>
      </c>
      <c r="N565" s="833"/>
    </row>
    <row r="566" spans="1:14" ht="15.75" customHeight="1">
      <c r="A566" s="1078" t="s">
        <v>1159</v>
      </c>
      <c r="B566" s="1085">
        <v>968</v>
      </c>
      <c r="C566" s="1085">
        <v>1004</v>
      </c>
      <c r="D566" s="1085" t="s">
        <v>1284</v>
      </c>
      <c r="E566" s="1085">
        <v>598</v>
      </c>
      <c r="F566" s="1085">
        <v>300</v>
      </c>
      <c r="G566" s="305"/>
      <c r="H566" s="777">
        <f>SUM(I566:L566)</f>
        <v>2893.6</v>
      </c>
      <c r="I566" s="2281">
        <f t="shared" si="105"/>
        <v>626.9</v>
      </c>
      <c r="J566" s="2282">
        <f t="shared" si="105"/>
        <v>764.656</v>
      </c>
      <c r="K566" s="2282">
        <f t="shared" si="105"/>
        <v>691.251</v>
      </c>
      <c r="L566" s="2283">
        <f t="shared" si="105"/>
        <v>810.7930000000001</v>
      </c>
      <c r="M566" s="833"/>
      <c r="N566" s="833"/>
    </row>
    <row r="567" spans="1:14" ht="24.75" customHeight="1">
      <c r="A567" s="1078" t="s">
        <v>1362</v>
      </c>
      <c r="B567" s="1085">
        <v>968</v>
      </c>
      <c r="C567" s="1085">
        <v>1004</v>
      </c>
      <c r="D567" s="1085" t="s">
        <v>1284</v>
      </c>
      <c r="E567" s="1085">
        <v>598</v>
      </c>
      <c r="F567" s="1085">
        <v>323</v>
      </c>
      <c r="G567" s="1079"/>
      <c r="H567" s="1087">
        <f>H568</f>
        <v>2893.6</v>
      </c>
      <c r="I567" s="2284">
        <f aca="true" t="shared" si="106" ref="I567:L568">I568</f>
        <v>626.9</v>
      </c>
      <c r="J567" s="1765">
        <f t="shared" si="106"/>
        <v>764.656</v>
      </c>
      <c r="K567" s="1765">
        <f t="shared" si="106"/>
        <v>691.251</v>
      </c>
      <c r="L567" s="1865">
        <f t="shared" si="106"/>
        <v>810.7930000000001</v>
      </c>
      <c r="M567" s="833"/>
      <c r="N567" s="833"/>
    </row>
    <row r="568" spans="1:14" ht="12.75">
      <c r="A568" s="288" t="s">
        <v>326</v>
      </c>
      <c r="B568" s="97">
        <v>968</v>
      </c>
      <c r="C568" s="97">
        <v>1004</v>
      </c>
      <c r="D568" s="97" t="s">
        <v>1284</v>
      </c>
      <c r="E568" s="97">
        <v>598</v>
      </c>
      <c r="F568" s="97">
        <v>323</v>
      </c>
      <c r="G568" s="302">
        <v>200</v>
      </c>
      <c r="H568" s="1535">
        <f>H569</f>
        <v>2893.6</v>
      </c>
      <c r="I568" s="1535">
        <f t="shared" si="106"/>
        <v>626.9</v>
      </c>
      <c r="J568" s="1534">
        <f t="shared" si="106"/>
        <v>764.656</v>
      </c>
      <c r="K568" s="1534">
        <f t="shared" si="106"/>
        <v>691.251</v>
      </c>
      <c r="L568" s="1534">
        <f t="shared" si="106"/>
        <v>810.7930000000001</v>
      </c>
      <c r="M568" s="833"/>
      <c r="N568" s="833"/>
    </row>
    <row r="569" spans="1:14" ht="12.75">
      <c r="A569" s="290" t="s">
        <v>327</v>
      </c>
      <c r="B569" s="297">
        <v>968</v>
      </c>
      <c r="C569" s="297">
        <v>1004</v>
      </c>
      <c r="D569" s="297" t="s">
        <v>1284</v>
      </c>
      <c r="E569" s="297">
        <v>598</v>
      </c>
      <c r="F569" s="297">
        <v>323</v>
      </c>
      <c r="G569" s="303">
        <v>220</v>
      </c>
      <c r="H569" s="2248">
        <f>H570</f>
        <v>2893.6</v>
      </c>
      <c r="I569" s="2248">
        <f>I570</f>
        <v>626.9</v>
      </c>
      <c r="J569" s="2249">
        <f>J570</f>
        <v>764.656</v>
      </c>
      <c r="K569" s="2249">
        <f>K570</f>
        <v>691.251</v>
      </c>
      <c r="L569" s="2249">
        <f>L570</f>
        <v>810.7930000000001</v>
      </c>
      <c r="M569" s="833"/>
      <c r="N569" s="833"/>
    </row>
    <row r="570" spans="1:14" ht="15" customHeight="1" thickBot="1">
      <c r="A570" s="561" t="s">
        <v>329</v>
      </c>
      <c r="B570" s="562">
        <v>968</v>
      </c>
      <c r="C570" s="562">
        <v>1004</v>
      </c>
      <c r="D570" s="562" t="s">
        <v>1284</v>
      </c>
      <c r="E570" s="562">
        <v>598</v>
      </c>
      <c r="F570" s="562">
        <v>323</v>
      </c>
      <c r="G570" s="563">
        <v>226</v>
      </c>
      <c r="H570" s="2182">
        <f>SUM(I570:L570)</f>
        <v>2893.6</v>
      </c>
      <c r="I570" s="2182">
        <v>626.9</v>
      </c>
      <c r="J570" s="2181">
        <f>627+137.656</f>
        <v>764.656</v>
      </c>
      <c r="K570" s="2181">
        <f>626.9+225.1-160.749</f>
        <v>691.251</v>
      </c>
      <c r="L570" s="2181">
        <f>627+225-137.656+160.749-64.3</f>
        <v>810.7930000000001</v>
      </c>
      <c r="M570" s="833">
        <v>2893.6</v>
      </c>
      <c r="N570" s="833"/>
    </row>
    <row r="571" spans="1:14" ht="26.25" customHeight="1" hidden="1" thickBot="1">
      <c r="A571" s="584" t="s">
        <v>807</v>
      </c>
      <c r="B571" s="585">
        <v>917</v>
      </c>
      <c r="C571" s="586"/>
      <c r="D571" s="586"/>
      <c r="E571" s="586"/>
      <c r="F571" s="587"/>
      <c r="G571" s="587"/>
      <c r="H571" s="2231">
        <f aca="true" t="shared" si="107" ref="H571:L573">H572</f>
        <v>0</v>
      </c>
      <c r="I571" s="2231">
        <f t="shared" si="107"/>
        <v>0</v>
      </c>
      <c r="J571" s="2232">
        <f t="shared" si="107"/>
        <v>0</v>
      </c>
      <c r="K571" s="2232">
        <f t="shared" si="107"/>
        <v>0</v>
      </c>
      <c r="L571" s="2232">
        <f t="shared" si="107"/>
        <v>0</v>
      </c>
      <c r="M571" s="833"/>
      <c r="N571" s="833"/>
    </row>
    <row r="572" spans="1:14" ht="18" customHeight="1" hidden="1" thickBot="1">
      <c r="A572" s="740" t="s">
        <v>102</v>
      </c>
      <c r="B572" s="741">
        <v>968</v>
      </c>
      <c r="C572" s="741">
        <v>100</v>
      </c>
      <c r="D572" s="742"/>
      <c r="E572" s="742"/>
      <c r="F572" s="743"/>
      <c r="G572" s="743"/>
      <c r="H572" s="2233">
        <f t="shared" si="107"/>
        <v>0</v>
      </c>
      <c r="I572" s="2233">
        <f t="shared" si="107"/>
        <v>0</v>
      </c>
      <c r="J572" s="2234">
        <f t="shared" si="107"/>
        <v>0</v>
      </c>
      <c r="K572" s="2234">
        <f t="shared" si="107"/>
        <v>0</v>
      </c>
      <c r="L572" s="2234">
        <f t="shared" si="107"/>
        <v>0</v>
      </c>
      <c r="M572" s="833"/>
      <c r="N572" s="833"/>
    </row>
    <row r="573" spans="1:14" ht="15.75" customHeight="1" hidden="1">
      <c r="A573" s="594" t="s">
        <v>21</v>
      </c>
      <c r="B573" s="595">
        <v>917</v>
      </c>
      <c r="C573" s="595">
        <v>107</v>
      </c>
      <c r="D573" s="595"/>
      <c r="E573" s="595"/>
      <c r="F573" s="677"/>
      <c r="G573" s="677"/>
      <c r="H573" s="2235">
        <f t="shared" si="107"/>
        <v>0</v>
      </c>
      <c r="I573" s="2235">
        <f t="shared" si="107"/>
        <v>0</v>
      </c>
      <c r="J573" s="2236">
        <f t="shared" si="107"/>
        <v>0</v>
      </c>
      <c r="K573" s="2236">
        <f t="shared" si="107"/>
        <v>0</v>
      </c>
      <c r="L573" s="2236">
        <f t="shared" si="107"/>
        <v>0</v>
      </c>
      <c r="M573" s="833"/>
      <c r="N573" s="833"/>
    </row>
    <row r="574" spans="1:14" ht="17.25" customHeight="1" hidden="1">
      <c r="A574" s="310" t="s">
        <v>141</v>
      </c>
      <c r="B574" s="107">
        <v>917</v>
      </c>
      <c r="C574" s="107">
        <v>107</v>
      </c>
      <c r="D574" s="107" t="s">
        <v>142</v>
      </c>
      <c r="E574" s="107"/>
      <c r="F574" s="305"/>
      <c r="G574" s="305"/>
      <c r="H574" s="2193">
        <f>H577</f>
        <v>0</v>
      </c>
      <c r="I574" s="2193">
        <f>I577</f>
        <v>0</v>
      </c>
      <c r="J574" s="2192">
        <f>J577</f>
        <v>0</v>
      </c>
      <c r="K574" s="2192">
        <f>K577</f>
        <v>0</v>
      </c>
      <c r="L574" s="2192">
        <f>L577</f>
        <v>0</v>
      </c>
      <c r="M574" s="833"/>
      <c r="N574" s="833"/>
    </row>
    <row r="575" spans="1:14" ht="17.25" customHeight="1" hidden="1">
      <c r="A575" s="310" t="s">
        <v>415</v>
      </c>
      <c r="B575" s="97">
        <v>917</v>
      </c>
      <c r="C575" s="97">
        <v>107</v>
      </c>
      <c r="D575" s="97" t="s">
        <v>142</v>
      </c>
      <c r="E575" s="97">
        <v>500</v>
      </c>
      <c r="F575" s="302"/>
      <c r="G575" s="302"/>
      <c r="H575" s="2202">
        <f aca="true" t="shared" si="108" ref="H575:L576">H576</f>
        <v>0</v>
      </c>
      <c r="I575" s="2202">
        <f t="shared" si="108"/>
        <v>0</v>
      </c>
      <c r="J575" s="2201">
        <f t="shared" si="108"/>
        <v>0</v>
      </c>
      <c r="K575" s="2201">
        <f t="shared" si="108"/>
        <v>0</v>
      </c>
      <c r="L575" s="2201">
        <f t="shared" si="108"/>
        <v>0</v>
      </c>
      <c r="M575" s="833"/>
      <c r="N575" s="833"/>
    </row>
    <row r="576" spans="1:14" ht="13.5" hidden="1" thickBot="1">
      <c r="A576" s="288" t="s">
        <v>326</v>
      </c>
      <c r="B576" s="97">
        <v>917</v>
      </c>
      <c r="C576" s="97">
        <v>107</v>
      </c>
      <c r="D576" s="97" t="s">
        <v>142</v>
      </c>
      <c r="E576" s="97">
        <v>500</v>
      </c>
      <c r="F576" s="302"/>
      <c r="G576" s="302">
        <v>200</v>
      </c>
      <c r="H576" s="2202">
        <f t="shared" si="108"/>
        <v>0</v>
      </c>
      <c r="I576" s="2202">
        <f t="shared" si="108"/>
        <v>0</v>
      </c>
      <c r="J576" s="2201">
        <f t="shared" si="108"/>
        <v>0</v>
      </c>
      <c r="K576" s="2201">
        <f t="shared" si="108"/>
        <v>0</v>
      </c>
      <c r="L576" s="2201">
        <f t="shared" si="108"/>
        <v>0</v>
      </c>
      <c r="M576" s="833"/>
      <c r="N576" s="833"/>
    </row>
    <row r="577" spans="1:14" ht="13.5" hidden="1" thickBot="1">
      <c r="A577" s="678" t="s">
        <v>224</v>
      </c>
      <c r="B577" s="679">
        <v>917</v>
      </c>
      <c r="C577" s="679">
        <v>107</v>
      </c>
      <c r="D577" s="679" t="s">
        <v>142</v>
      </c>
      <c r="E577" s="679">
        <v>500</v>
      </c>
      <c r="F577" s="680"/>
      <c r="G577" s="680">
        <v>290</v>
      </c>
      <c r="H577" s="2222">
        <f aca="true" t="shared" si="109" ref="H577:H583">SUM(I577:L577)</f>
        <v>0</v>
      </c>
      <c r="I577" s="2222">
        <v>0</v>
      </c>
      <c r="J577" s="2221">
        <v>0</v>
      </c>
      <c r="K577" s="2221">
        <v>0</v>
      </c>
      <c r="L577" s="2221">
        <v>0</v>
      </c>
      <c r="M577" s="833"/>
      <c r="N577" s="833"/>
    </row>
    <row r="578" spans="1:14" ht="15.75" thickBot="1">
      <c r="A578" s="569" t="s">
        <v>821</v>
      </c>
      <c r="B578" s="570">
        <v>968</v>
      </c>
      <c r="C578" s="570">
        <v>1100</v>
      </c>
      <c r="D578" s="570"/>
      <c r="E578" s="570"/>
      <c r="F578" s="571"/>
      <c r="G578" s="571"/>
      <c r="H578" s="2246">
        <f t="shared" si="109"/>
        <v>3380.6850000000004</v>
      </c>
      <c r="I578" s="2246">
        <f aca="true" t="shared" si="110" ref="I578:L580">I579</f>
        <v>1040.6850000000002</v>
      </c>
      <c r="J578" s="2246">
        <f t="shared" si="110"/>
        <v>1618.2</v>
      </c>
      <c r="K578" s="2246">
        <f t="shared" si="110"/>
        <v>0</v>
      </c>
      <c r="L578" s="2247">
        <f t="shared" si="110"/>
        <v>721.8</v>
      </c>
      <c r="M578" s="833"/>
      <c r="N578" s="833"/>
    </row>
    <row r="579" spans="1:14" ht="15">
      <c r="A579" s="565" t="s">
        <v>822</v>
      </c>
      <c r="B579" s="566">
        <v>968</v>
      </c>
      <c r="C579" s="566">
        <v>1102</v>
      </c>
      <c r="D579" s="566"/>
      <c r="E579" s="566"/>
      <c r="F579" s="567"/>
      <c r="G579" s="567"/>
      <c r="H579" s="2243">
        <f t="shared" si="109"/>
        <v>3380.6850000000004</v>
      </c>
      <c r="I579" s="2243">
        <f>I580</f>
        <v>1040.6850000000002</v>
      </c>
      <c r="J579" s="2244">
        <f t="shared" si="110"/>
        <v>1618.2</v>
      </c>
      <c r="K579" s="2244">
        <f t="shared" si="110"/>
        <v>0</v>
      </c>
      <c r="L579" s="2244">
        <f t="shared" si="110"/>
        <v>721.8</v>
      </c>
      <c r="M579" s="833">
        <v>3380.7</v>
      </c>
      <c r="N579" s="833"/>
    </row>
    <row r="580" spans="1:14" ht="48.75" customHeight="1">
      <c r="A580" s="310" t="s">
        <v>1378</v>
      </c>
      <c r="B580" s="107">
        <v>968</v>
      </c>
      <c r="C580" s="107">
        <v>1102</v>
      </c>
      <c r="D580" s="107" t="s">
        <v>1267</v>
      </c>
      <c r="E580" s="107"/>
      <c r="F580" s="305"/>
      <c r="G580" s="305"/>
      <c r="H580" s="777">
        <f t="shared" si="109"/>
        <v>3380.6850000000004</v>
      </c>
      <c r="I580" s="777">
        <f>I581</f>
        <v>1040.6850000000002</v>
      </c>
      <c r="J580" s="777">
        <f t="shared" si="110"/>
        <v>1618.2</v>
      </c>
      <c r="K580" s="777">
        <f t="shared" si="110"/>
        <v>0</v>
      </c>
      <c r="L580" s="650">
        <f t="shared" si="110"/>
        <v>721.8</v>
      </c>
      <c r="M580" s="833"/>
      <c r="N580" s="833"/>
    </row>
    <row r="581" spans="1:14" ht="12.75">
      <c r="A581" s="310" t="s">
        <v>1158</v>
      </c>
      <c r="B581" s="1085">
        <v>968</v>
      </c>
      <c r="C581" s="1085">
        <v>1102</v>
      </c>
      <c r="D581" s="1085" t="s">
        <v>1267</v>
      </c>
      <c r="E581" s="107"/>
      <c r="F581" s="1079">
        <v>200</v>
      </c>
      <c r="G581" s="305"/>
      <c r="H581" s="777">
        <f>SUM(I581:L581)</f>
        <v>3380.6850000000004</v>
      </c>
      <c r="I581" s="777">
        <f>I582</f>
        <v>1040.6850000000002</v>
      </c>
      <c r="J581" s="777">
        <f>J582</f>
        <v>1618.2</v>
      </c>
      <c r="K581" s="777">
        <f>K582</f>
        <v>0</v>
      </c>
      <c r="L581" s="650">
        <f>L582</f>
        <v>721.8</v>
      </c>
      <c r="M581" s="833"/>
      <c r="N581" s="833"/>
    </row>
    <row r="582" spans="1:14" ht="12.75">
      <c r="A582" s="1078" t="s">
        <v>920</v>
      </c>
      <c r="B582" s="1085">
        <v>968</v>
      </c>
      <c r="C582" s="1085">
        <v>1102</v>
      </c>
      <c r="D582" s="1085" t="s">
        <v>1267</v>
      </c>
      <c r="E582" s="1085"/>
      <c r="F582" s="1079">
        <v>240</v>
      </c>
      <c r="G582" s="1079"/>
      <c r="H582" s="1087">
        <f t="shared" si="109"/>
        <v>3380.6850000000004</v>
      </c>
      <c r="I582" s="1087">
        <f>I583+I586</f>
        <v>1040.6850000000002</v>
      </c>
      <c r="J582" s="1087">
        <f>J583+J586</f>
        <v>1618.2</v>
      </c>
      <c r="K582" s="1087">
        <f>K583+K586</f>
        <v>0</v>
      </c>
      <c r="L582" s="1086">
        <f>L583+L586</f>
        <v>721.8</v>
      </c>
      <c r="M582" s="833"/>
      <c r="N582" s="833"/>
    </row>
    <row r="583" spans="1:14" ht="24" hidden="1">
      <c r="A583" s="1078" t="s">
        <v>1019</v>
      </c>
      <c r="B583" s="1085">
        <v>968</v>
      </c>
      <c r="C583" s="1085">
        <v>1102</v>
      </c>
      <c r="D583" s="1085" t="s">
        <v>943</v>
      </c>
      <c r="E583" s="1085">
        <v>500</v>
      </c>
      <c r="F583" s="1079">
        <v>242</v>
      </c>
      <c r="G583" s="1079"/>
      <c r="H583" s="1087">
        <f t="shared" si="109"/>
        <v>0</v>
      </c>
      <c r="I583" s="1086">
        <f aca="true" t="shared" si="111" ref="I583:L584">I584</f>
        <v>0</v>
      </c>
      <c r="J583" s="1086">
        <f t="shared" si="111"/>
        <v>0</v>
      </c>
      <c r="K583" s="1086">
        <f t="shared" si="111"/>
        <v>0</v>
      </c>
      <c r="L583" s="1086">
        <f t="shared" si="111"/>
        <v>0</v>
      </c>
      <c r="M583" s="833"/>
      <c r="N583" s="833"/>
    </row>
    <row r="584" spans="1:14" ht="12.75" hidden="1">
      <c r="A584" s="288" t="s">
        <v>330</v>
      </c>
      <c r="B584" s="97">
        <v>968</v>
      </c>
      <c r="C584" s="97">
        <v>1102</v>
      </c>
      <c r="D584" s="97" t="s">
        <v>943</v>
      </c>
      <c r="E584" s="97">
        <v>500</v>
      </c>
      <c r="F584" s="302">
        <v>242</v>
      </c>
      <c r="G584" s="302">
        <v>300</v>
      </c>
      <c r="H584" s="1535">
        <f>H585</f>
        <v>0</v>
      </c>
      <c r="I584" s="1534">
        <f t="shared" si="111"/>
        <v>0</v>
      </c>
      <c r="J584" s="1534">
        <f t="shared" si="111"/>
        <v>0</v>
      </c>
      <c r="K584" s="1534">
        <f t="shared" si="111"/>
        <v>0</v>
      </c>
      <c r="L584" s="1534">
        <f t="shared" si="111"/>
        <v>0</v>
      </c>
      <c r="M584" s="833"/>
      <c r="N584" s="833"/>
    </row>
    <row r="585" spans="1:14" ht="12.75" hidden="1">
      <c r="A585" s="290" t="s">
        <v>225</v>
      </c>
      <c r="B585" s="297">
        <v>968</v>
      </c>
      <c r="C585" s="562">
        <v>1102</v>
      </c>
      <c r="D585" s="562" t="s">
        <v>943</v>
      </c>
      <c r="E585" s="562">
        <v>500</v>
      </c>
      <c r="F585" s="563">
        <v>242</v>
      </c>
      <c r="G585" s="563">
        <v>310</v>
      </c>
      <c r="H585" s="2248">
        <f>SUM(I585:L585)</f>
        <v>0</v>
      </c>
      <c r="I585" s="2248">
        <v>0</v>
      </c>
      <c r="J585" s="1535">
        <f>220-220</f>
        <v>0</v>
      </c>
      <c r="K585" s="1534">
        <v>0</v>
      </c>
      <c r="L585" s="1534">
        <v>0</v>
      </c>
      <c r="M585" s="833"/>
      <c r="N585" s="833"/>
    </row>
    <row r="586" spans="1:14" ht="12.75">
      <c r="A586" s="1078" t="s">
        <v>1002</v>
      </c>
      <c r="B586" s="1085">
        <v>968</v>
      </c>
      <c r="C586" s="1085">
        <v>1102</v>
      </c>
      <c r="D586" s="1085" t="s">
        <v>1267</v>
      </c>
      <c r="E586" s="1085">
        <v>500</v>
      </c>
      <c r="F586" s="1079">
        <v>244</v>
      </c>
      <c r="G586" s="1079"/>
      <c r="H586" s="1087">
        <f>H587+H590</f>
        <v>3380.6850000000004</v>
      </c>
      <c r="I586" s="1086">
        <f>I587+I590</f>
        <v>1040.6850000000002</v>
      </c>
      <c r="J586" s="1086">
        <f>J587+J590</f>
        <v>1618.2</v>
      </c>
      <c r="K586" s="1086">
        <f>K587+K590</f>
        <v>0</v>
      </c>
      <c r="L586" s="1086">
        <f>L587+L590</f>
        <v>721.8</v>
      </c>
      <c r="M586" s="833"/>
      <c r="N586" s="833"/>
    </row>
    <row r="587" spans="1:14" ht="12.75">
      <c r="A587" s="288" t="s">
        <v>326</v>
      </c>
      <c r="B587" s="97">
        <v>968</v>
      </c>
      <c r="C587" s="97">
        <v>1102</v>
      </c>
      <c r="D587" s="97" t="s">
        <v>1267</v>
      </c>
      <c r="E587" s="97">
        <v>500</v>
      </c>
      <c r="F587" s="302">
        <v>244</v>
      </c>
      <c r="G587" s="302">
        <v>200</v>
      </c>
      <c r="H587" s="1535">
        <f>H588+H589</f>
        <v>3380.6850000000004</v>
      </c>
      <c r="I587" s="1534">
        <f>I588+I589</f>
        <v>1040.6850000000002</v>
      </c>
      <c r="J587" s="1534">
        <f>J588+J589</f>
        <v>1618.2</v>
      </c>
      <c r="K587" s="1534">
        <f>K588+K589</f>
        <v>0</v>
      </c>
      <c r="L587" s="1534">
        <f>L588+L589</f>
        <v>721.8</v>
      </c>
      <c r="M587" s="833"/>
      <c r="N587" s="833"/>
    </row>
    <row r="588" spans="1:14" ht="12.75">
      <c r="A588" s="561" t="s">
        <v>329</v>
      </c>
      <c r="B588" s="562">
        <v>968</v>
      </c>
      <c r="C588" s="562">
        <v>1102</v>
      </c>
      <c r="D588" s="562" t="s">
        <v>1267</v>
      </c>
      <c r="E588" s="562">
        <v>500</v>
      </c>
      <c r="F588" s="563">
        <v>244</v>
      </c>
      <c r="G588" s="563">
        <v>226</v>
      </c>
      <c r="H588" s="2182">
        <f>SUM(I588:L588)</f>
        <v>2627.6850000000004</v>
      </c>
      <c r="I588" s="2182">
        <f>1299.7-21.3-312.715</f>
        <v>965.6850000000002</v>
      </c>
      <c r="J588" s="2181">
        <f>1443.3-323-7.1</f>
        <v>1113.2</v>
      </c>
      <c r="K588" s="2181">
        <f>380.1-300-0.7-50-29.4</f>
        <v>0</v>
      </c>
      <c r="L588" s="2181">
        <f>646.6+50+29.4+10-187.2</f>
        <v>548.8</v>
      </c>
      <c r="M588" s="833">
        <v>2627.7</v>
      </c>
      <c r="N588" s="833"/>
    </row>
    <row r="589" spans="1:14" ht="13.5" thickBot="1">
      <c r="A589" s="290" t="s">
        <v>224</v>
      </c>
      <c r="B589" s="297">
        <v>968</v>
      </c>
      <c r="C589" s="297">
        <v>1102</v>
      </c>
      <c r="D589" s="297" t="s">
        <v>1267</v>
      </c>
      <c r="E589" s="297">
        <v>500</v>
      </c>
      <c r="F589" s="303">
        <v>244</v>
      </c>
      <c r="G589" s="303">
        <v>290</v>
      </c>
      <c r="H589" s="2248">
        <f>SUM(I589:L589)</f>
        <v>753</v>
      </c>
      <c r="I589" s="2248">
        <v>75</v>
      </c>
      <c r="J589" s="2249">
        <f>75+430</f>
        <v>505</v>
      </c>
      <c r="K589" s="2249">
        <v>0</v>
      </c>
      <c r="L589" s="2249">
        <v>173</v>
      </c>
      <c r="M589" s="833">
        <v>753</v>
      </c>
      <c r="N589" s="833"/>
    </row>
    <row r="590" spans="1:14" ht="13.5" hidden="1" thickBot="1">
      <c r="A590" s="288" t="s">
        <v>330</v>
      </c>
      <c r="B590" s="97">
        <v>968</v>
      </c>
      <c r="C590" s="97">
        <v>1102</v>
      </c>
      <c r="D590" s="97" t="s">
        <v>943</v>
      </c>
      <c r="E590" s="97">
        <v>500</v>
      </c>
      <c r="F590" s="302">
        <v>244</v>
      </c>
      <c r="G590" s="302">
        <v>300</v>
      </c>
      <c r="H590" s="2202">
        <f>H591</f>
        <v>0</v>
      </c>
      <c r="I590" s="2201">
        <f>I591</f>
        <v>0</v>
      </c>
      <c r="J590" s="2201">
        <f>J591</f>
        <v>0</v>
      </c>
      <c r="K590" s="2201">
        <f>K591</f>
        <v>0</v>
      </c>
      <c r="L590" s="2201">
        <f>L591</f>
        <v>0</v>
      </c>
      <c r="M590" s="833"/>
      <c r="N590" s="833"/>
    </row>
    <row r="591" spans="1:14" ht="13.5" hidden="1" thickBot="1">
      <c r="A591" s="290" t="s">
        <v>225</v>
      </c>
      <c r="B591" s="297">
        <v>968</v>
      </c>
      <c r="C591" s="562">
        <v>1102</v>
      </c>
      <c r="D591" s="562" t="s">
        <v>943</v>
      </c>
      <c r="E591" s="562">
        <v>500</v>
      </c>
      <c r="F591" s="563">
        <v>244</v>
      </c>
      <c r="G591" s="563">
        <v>310</v>
      </c>
      <c r="H591" s="2200">
        <f aca="true" t="shared" si="112" ref="H591:H596">SUM(I591:L591)</f>
        <v>0</v>
      </c>
      <c r="I591" s="2200">
        <v>0</v>
      </c>
      <c r="J591" s="2202">
        <v>0</v>
      </c>
      <c r="K591" s="2201">
        <v>0</v>
      </c>
      <c r="L591" s="2201">
        <v>0</v>
      </c>
      <c r="M591" s="833"/>
      <c r="N591" s="833"/>
    </row>
    <row r="592" spans="1:14" ht="15.75" thickBot="1">
      <c r="A592" s="569" t="s">
        <v>823</v>
      </c>
      <c r="B592" s="570">
        <v>968</v>
      </c>
      <c r="C592" s="570">
        <v>1200</v>
      </c>
      <c r="D592" s="570"/>
      <c r="E592" s="570"/>
      <c r="F592" s="571"/>
      <c r="G592" s="571"/>
      <c r="H592" s="2246">
        <f t="shared" si="112"/>
        <v>1464.75</v>
      </c>
      <c r="I592" s="2246">
        <f>I593</f>
        <v>594.5</v>
      </c>
      <c r="J592" s="2247">
        <f>J593</f>
        <v>465.5</v>
      </c>
      <c r="K592" s="2247">
        <f>K593</f>
        <v>122</v>
      </c>
      <c r="L592" s="2247">
        <f>L593</f>
        <v>282.75</v>
      </c>
      <c r="M592" s="833"/>
      <c r="N592" s="833"/>
    </row>
    <row r="593" spans="1:14" ht="15">
      <c r="A593" s="311" t="s">
        <v>642</v>
      </c>
      <c r="B593" s="296">
        <v>968</v>
      </c>
      <c r="C593" s="296">
        <v>1202</v>
      </c>
      <c r="D593" s="296"/>
      <c r="E593" s="296"/>
      <c r="F593" s="301"/>
      <c r="G593" s="301"/>
      <c r="H593" s="2275">
        <f t="shared" si="112"/>
        <v>1464.75</v>
      </c>
      <c r="I593" s="2275">
        <f aca="true" t="shared" si="113" ref="H593:L597">I594</f>
        <v>594.5</v>
      </c>
      <c r="J593" s="2276">
        <f t="shared" si="113"/>
        <v>465.5</v>
      </c>
      <c r="K593" s="2276">
        <f t="shared" si="113"/>
        <v>122</v>
      </c>
      <c r="L593" s="2276">
        <f t="shared" si="113"/>
        <v>282.75</v>
      </c>
      <c r="M593" s="833"/>
      <c r="N593" s="833"/>
    </row>
    <row r="594" spans="1:14" ht="15.75" customHeight="1">
      <c r="A594" s="310" t="s">
        <v>964</v>
      </c>
      <c r="B594" s="107">
        <v>968</v>
      </c>
      <c r="C594" s="107">
        <v>1202</v>
      </c>
      <c r="D594" s="107" t="s">
        <v>646</v>
      </c>
      <c r="E594" s="107"/>
      <c r="F594" s="305"/>
      <c r="G594" s="305"/>
      <c r="H594" s="777">
        <f t="shared" si="112"/>
        <v>1464.75</v>
      </c>
      <c r="I594" s="777">
        <f>I595</f>
        <v>594.5</v>
      </c>
      <c r="J594" s="777">
        <f t="shared" si="113"/>
        <v>465.5</v>
      </c>
      <c r="K594" s="777">
        <f t="shared" si="113"/>
        <v>122</v>
      </c>
      <c r="L594" s="650">
        <f t="shared" si="113"/>
        <v>282.75</v>
      </c>
      <c r="M594" s="833"/>
      <c r="N594" s="833"/>
    </row>
    <row r="595" spans="1:14" ht="12.75">
      <c r="A595" s="310" t="s">
        <v>1158</v>
      </c>
      <c r="B595" s="1085">
        <v>968</v>
      </c>
      <c r="C595" s="1085">
        <v>1202</v>
      </c>
      <c r="D595" s="1085" t="s">
        <v>646</v>
      </c>
      <c r="E595" s="1085">
        <v>500</v>
      </c>
      <c r="F595" s="1079">
        <v>200</v>
      </c>
      <c r="G595" s="305"/>
      <c r="H595" s="777">
        <f t="shared" si="112"/>
        <v>1464.75</v>
      </c>
      <c r="I595" s="777">
        <f>I596</f>
        <v>594.5</v>
      </c>
      <c r="J595" s="777">
        <f>J596</f>
        <v>465.5</v>
      </c>
      <c r="K595" s="777">
        <f>K596</f>
        <v>122</v>
      </c>
      <c r="L595" s="650">
        <f>L596</f>
        <v>282.75</v>
      </c>
      <c r="M595" s="833"/>
      <c r="N595" s="833"/>
    </row>
    <row r="596" spans="1:14" ht="12.75">
      <c r="A596" s="1078" t="s">
        <v>1002</v>
      </c>
      <c r="B596" s="1085">
        <v>968</v>
      </c>
      <c r="C596" s="1085">
        <v>1202</v>
      </c>
      <c r="D596" s="1085" t="s">
        <v>646</v>
      </c>
      <c r="E596" s="1085">
        <v>500</v>
      </c>
      <c r="F596" s="1079">
        <v>244</v>
      </c>
      <c r="G596" s="1079"/>
      <c r="H596" s="1087">
        <f t="shared" si="112"/>
        <v>1464.75</v>
      </c>
      <c r="I596" s="1087">
        <f>I597+I599</f>
        <v>594.5</v>
      </c>
      <c r="J596" s="1087">
        <f>J597+J599</f>
        <v>465.5</v>
      </c>
      <c r="K596" s="1087">
        <f>K597+K599</f>
        <v>122</v>
      </c>
      <c r="L596" s="1086">
        <f>L597+L599</f>
        <v>282.75</v>
      </c>
      <c r="M596" s="833"/>
      <c r="N596" s="833"/>
    </row>
    <row r="597" spans="1:14" ht="13.5" thickBot="1">
      <c r="A597" s="288" t="s">
        <v>326</v>
      </c>
      <c r="B597" s="97">
        <v>968</v>
      </c>
      <c r="C597" s="97">
        <v>1202</v>
      </c>
      <c r="D597" s="97" t="s">
        <v>646</v>
      </c>
      <c r="E597" s="97">
        <v>500</v>
      </c>
      <c r="F597" s="302">
        <v>244</v>
      </c>
      <c r="G597" s="302">
        <v>200</v>
      </c>
      <c r="H597" s="1535">
        <f t="shared" si="113"/>
        <v>1464.75</v>
      </c>
      <c r="I597" s="1535">
        <f t="shared" si="113"/>
        <v>594.5</v>
      </c>
      <c r="J597" s="1534">
        <f t="shared" si="113"/>
        <v>465.5</v>
      </c>
      <c r="K597" s="1534">
        <f t="shared" si="113"/>
        <v>122</v>
      </c>
      <c r="L597" s="2277">
        <f t="shared" si="113"/>
        <v>282.75</v>
      </c>
      <c r="M597" s="833"/>
      <c r="N597" s="833"/>
    </row>
    <row r="598" spans="1:14" ht="13.5" thickBot="1">
      <c r="A598" s="851" t="s">
        <v>329</v>
      </c>
      <c r="B598" s="852">
        <v>968</v>
      </c>
      <c r="C598" s="852">
        <v>1202</v>
      </c>
      <c r="D598" s="852" t="s">
        <v>646</v>
      </c>
      <c r="E598" s="852">
        <v>500</v>
      </c>
      <c r="F598" s="853">
        <v>244</v>
      </c>
      <c r="G598" s="853">
        <v>226</v>
      </c>
      <c r="H598" s="2240">
        <f>SUM(I598:L598)</f>
        <v>1464.75</v>
      </c>
      <c r="I598" s="2240">
        <f>791.5-197</f>
        <v>594.5</v>
      </c>
      <c r="J598" s="2245">
        <f>465.5+197-197</f>
        <v>465.5</v>
      </c>
      <c r="K598" s="2245">
        <f>149.5+197-224.5</f>
        <v>122</v>
      </c>
      <c r="L598" s="2278">
        <f>393.5+224.5-335.25</f>
        <v>282.75</v>
      </c>
      <c r="M598" s="833">
        <v>1464.8</v>
      </c>
      <c r="N598" s="833"/>
    </row>
    <row r="599" spans="1:14" ht="12.75" hidden="1">
      <c r="A599" s="1859" t="s">
        <v>330</v>
      </c>
      <c r="B599" s="1858">
        <v>968</v>
      </c>
      <c r="C599" s="1858">
        <v>1202</v>
      </c>
      <c r="D599" s="1858" t="s">
        <v>646</v>
      </c>
      <c r="E599" s="1858">
        <v>500</v>
      </c>
      <c r="F599" s="1860">
        <v>244</v>
      </c>
      <c r="G599" s="1860">
        <v>300</v>
      </c>
      <c r="H599" s="1861">
        <f>SUM(I599:L599)</f>
        <v>0</v>
      </c>
      <c r="I599" s="1862">
        <f>I600</f>
        <v>0</v>
      </c>
      <c r="J599" s="1862">
        <f>J600</f>
        <v>0</v>
      </c>
      <c r="K599" s="1862">
        <f>K600</f>
        <v>0</v>
      </c>
      <c r="L599" s="1863">
        <f>L600</f>
        <v>0</v>
      </c>
      <c r="M599" s="833"/>
      <c r="N599" s="833"/>
    </row>
    <row r="600" spans="1:14" ht="13.5" hidden="1" thickBot="1">
      <c r="A600" s="291" t="s">
        <v>226</v>
      </c>
      <c r="B600" s="562">
        <v>968</v>
      </c>
      <c r="C600" s="562">
        <v>1202</v>
      </c>
      <c r="D600" s="562" t="s">
        <v>646</v>
      </c>
      <c r="E600" s="562">
        <v>500</v>
      </c>
      <c r="F600" s="563">
        <v>244</v>
      </c>
      <c r="G600" s="304">
        <v>340</v>
      </c>
      <c r="H600" s="1538">
        <f>SUM(I600:L600)</f>
        <v>0</v>
      </c>
      <c r="I600" s="1539">
        <v>0</v>
      </c>
      <c r="J600" s="1539">
        <v>0</v>
      </c>
      <c r="K600" s="1539">
        <v>0</v>
      </c>
      <c r="L600" s="1540">
        <v>0</v>
      </c>
      <c r="M600" s="833"/>
      <c r="N600" s="833"/>
    </row>
    <row r="601" spans="1:14" ht="16.5" thickBot="1">
      <c r="A601" s="682" t="s">
        <v>294</v>
      </c>
      <c r="B601" s="582"/>
      <c r="C601" s="582"/>
      <c r="D601" s="582"/>
      <c r="E601" s="582"/>
      <c r="F601" s="583"/>
      <c r="G601" s="805"/>
      <c r="H601" s="593">
        <f>SUM(I601:L601)</f>
        <v>116891.813</v>
      </c>
      <c r="I601" s="593">
        <f>I155</f>
        <v>16697.756</v>
      </c>
      <c r="J601" s="593">
        <f>J155</f>
        <v>21319.772999999997</v>
      </c>
      <c r="K601" s="593">
        <f>K155</f>
        <v>34812.404</v>
      </c>
      <c r="L601" s="593">
        <f>L155</f>
        <v>44061.880000000005</v>
      </c>
      <c r="M601" s="833"/>
      <c r="N601" s="833"/>
    </row>
    <row r="602" spans="1:13" ht="12.75">
      <c r="A602" t="s">
        <v>334</v>
      </c>
      <c r="I602" s="3099" t="s">
        <v>1261</v>
      </c>
      <c r="J602" s="3099"/>
      <c r="K602" s="3099"/>
      <c r="M602" s="833"/>
    </row>
    <row r="603" spans="1:13" ht="13.5" thickBot="1">
      <c r="A603" s="3180" t="s">
        <v>335</v>
      </c>
      <c r="B603" s="3180"/>
      <c r="I603" s="3099" t="s">
        <v>1229</v>
      </c>
      <c r="J603" s="3099"/>
      <c r="K603" s="3099"/>
      <c r="M603" s="833"/>
    </row>
    <row r="604" spans="1:13" ht="16.5" thickBot="1">
      <c r="A604" s="682" t="s">
        <v>512</v>
      </c>
      <c r="B604" s="3181"/>
      <c r="C604" s="3182"/>
      <c r="D604" s="681"/>
      <c r="E604" s="3181"/>
      <c r="F604" s="3183"/>
      <c r="G604" s="3184"/>
      <c r="H604" s="806">
        <f>H601+H113+H30</f>
        <v>121000</v>
      </c>
      <c r="I604" s="806">
        <f>I601+I113+I30</f>
        <v>17891.748</v>
      </c>
      <c r="J604" s="806">
        <f>J601+J113+J30</f>
        <v>22129.322999999997</v>
      </c>
      <c r="K604" s="806">
        <f>K601+K113+K30</f>
        <v>36118.227</v>
      </c>
      <c r="L604" s="806">
        <f>L601+L113+L30</f>
        <v>44860.702000000005</v>
      </c>
      <c r="M604" s="833"/>
    </row>
    <row r="606" spans="9:11" ht="12.75">
      <c r="I606" s="3099"/>
      <c r="J606" s="3099"/>
      <c r="K606" s="3099"/>
    </row>
    <row r="608" spans="1:11" ht="12.75">
      <c r="A608" s="3180"/>
      <c r="B608" s="3180"/>
      <c r="I608" s="3099"/>
      <c r="J608" s="3099"/>
      <c r="K608" s="3099"/>
    </row>
  </sheetData>
  <sheetProtection/>
  <mergeCells count="73">
    <mergeCell ref="D135:L135"/>
    <mergeCell ref="D118:L118"/>
    <mergeCell ref="D120:L120"/>
    <mergeCell ref="D122:L122"/>
    <mergeCell ref="A3:L3"/>
    <mergeCell ref="A4:L4"/>
    <mergeCell ref="A49:L49"/>
    <mergeCell ref="D52:L52"/>
    <mergeCell ref="A115:B115"/>
    <mergeCell ref="D131:L131"/>
    <mergeCell ref="D1:L1"/>
    <mergeCell ref="D2:L2"/>
    <mergeCell ref="I115:K115"/>
    <mergeCell ref="I114:K114"/>
    <mergeCell ref="D127:L127"/>
    <mergeCell ref="D128:L128"/>
    <mergeCell ref="A54:L54"/>
    <mergeCell ref="I32:K32"/>
    <mergeCell ref="A33:B33"/>
    <mergeCell ref="I33:K33"/>
    <mergeCell ref="D125:L125"/>
    <mergeCell ref="D123:L123"/>
    <mergeCell ref="D34:L34"/>
    <mergeCell ref="D35:L35"/>
    <mergeCell ref="A48:L48"/>
    <mergeCell ref="D121:L121"/>
    <mergeCell ref="D119:L119"/>
    <mergeCell ref="D51:L51"/>
    <mergeCell ref="D53:L53"/>
    <mergeCell ref="D42:L42"/>
    <mergeCell ref="D38:L38"/>
    <mergeCell ref="D50:L50"/>
    <mergeCell ref="D43:L43"/>
    <mergeCell ref="D44:L44"/>
    <mergeCell ref="D39:L39"/>
    <mergeCell ref="D41:L41"/>
    <mergeCell ref="D46:L46"/>
    <mergeCell ref="D36:L36"/>
    <mergeCell ref="D45:L45"/>
    <mergeCell ref="D37:L37"/>
    <mergeCell ref="D40:L40"/>
    <mergeCell ref="A140:L140"/>
    <mergeCell ref="D124:L124"/>
    <mergeCell ref="D126:L126"/>
    <mergeCell ref="D132:L132"/>
    <mergeCell ref="D130:L130"/>
    <mergeCell ref="D129:L129"/>
    <mergeCell ref="A141:L141"/>
    <mergeCell ref="D150:L150"/>
    <mergeCell ref="A152:L152"/>
    <mergeCell ref="D146:L146"/>
    <mergeCell ref="D133:L133"/>
    <mergeCell ref="D134:L134"/>
    <mergeCell ref="D137:L137"/>
    <mergeCell ref="D138:L138"/>
    <mergeCell ref="D139:L139"/>
    <mergeCell ref="D136:L136"/>
    <mergeCell ref="A608:B608"/>
    <mergeCell ref="I606:K606"/>
    <mergeCell ref="I608:K608"/>
    <mergeCell ref="B604:C604"/>
    <mergeCell ref="E604:G604"/>
    <mergeCell ref="D147:L147"/>
    <mergeCell ref="D151:L151"/>
    <mergeCell ref="A603:B603"/>
    <mergeCell ref="I603:K603"/>
    <mergeCell ref="D148:L148"/>
    <mergeCell ref="I602:K602"/>
    <mergeCell ref="D149:L149"/>
    <mergeCell ref="D143:L143"/>
    <mergeCell ref="D145:L145"/>
    <mergeCell ref="D144:L144"/>
    <mergeCell ref="D142:L142"/>
  </mergeCells>
  <printOptions/>
  <pageMargins left="0.25" right="0.25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string_value</cp:lastModifiedBy>
  <cp:lastPrinted>2016-04-21T11:11:06Z</cp:lastPrinted>
  <dcterms:created xsi:type="dcterms:W3CDTF">2005-01-25T09:10:50Z</dcterms:created>
  <dcterms:modified xsi:type="dcterms:W3CDTF">2016-04-21T11:22:55Z</dcterms:modified>
  <cp:category/>
  <cp:version/>
  <cp:contentType/>
  <cp:contentStatus/>
</cp:coreProperties>
</file>